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8FFF8BF9-ABC4-4210-B7AE-49D5F9E007D5}" xr6:coauthVersionLast="47" xr6:coauthVersionMax="47" xr10:uidLastSave="{00000000-0000-0000-0000-000000000000}"/>
  <bookViews>
    <workbookView xWindow="390" yWindow="390" windowWidth="21600" windowHeight="11385" tabRatio="809" xr2:uid="{660BDFD6-C435-4986-A101-19921E0E4C74}"/>
  </bookViews>
  <sheets>
    <sheet name="別添2" sheetId="22" r:id="rId1"/>
    <sheet name="様式95_外来・在宅ベースアップ評価料（Ⅰ）" sheetId="6" r:id="rId2"/>
    <sheet name="様式96_外来・在宅ベースアップ評価料（Ⅱ）" sheetId="7" state="hidden" r:id="rId3"/>
    <sheet name="様式97_入院ベースアップ評価料" sheetId="4" r:id="rId4"/>
    <sheet name="様式98_賃金改善実績報告書（表紙）" sheetId="19" state="hidden" r:id="rId5"/>
    <sheet name="別添_計画書（病院及び有床診療所）" sheetId="9"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state="hidden"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 r:id="rId21"/>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'様式96_外来・在宅ベースアップ評価料（Ⅱ）'!$A$1:$AJ$172</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'様式96_外来・在宅ベースアップ評価料（Ⅱ）'!$A$1:$T$123</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'様式96_外来・在宅ベースアップ評価料（Ⅱ）'!$A$1:$T$123</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'様式96_外来・在宅ベースアップ評価料（Ⅱ）'!$A$1:$T$123</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'様式96_外来・在宅ベースアップ評価料（Ⅱ）'!$A$1:$T$123</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'様式96_外来・在宅ベースアップ評価料（Ⅱ）'!$A$1:$T$123</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M37" i="4" l="1"/>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9"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s="1"/>
  <c r="K2" i="21"/>
  <c r="X4" i="25"/>
  <c r="XZ2" i="21" s="1"/>
  <c r="X4" i="23"/>
  <c r="OE2" i="21" s="1"/>
  <c r="X4" i="24"/>
  <c r="SY2" i="21" s="1"/>
  <c r="X5" i="24"/>
  <c r="SZ2" i="21" s="1"/>
  <c r="X5" i="25"/>
  <c r="YA2" i="21" s="1"/>
  <c r="X5" i="23"/>
  <c r="OF2" i="21" s="1"/>
  <c r="L2" i="21"/>
  <c r="H6" i="7"/>
  <c r="J91" i="4"/>
  <c r="C59"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9" i="7"/>
  <c r="Q59" i="7"/>
  <c r="J59"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103" i="7"/>
  <c r="BD2" i="21" s="1"/>
  <c r="AK93" i="4"/>
  <c r="CW2" i="21" s="1"/>
  <c r="GJ2" i="21" l="1"/>
  <c r="AB145" i="9"/>
  <c r="GK2" i="21" s="1"/>
  <c r="FZ2" i="21"/>
  <c r="AB133" i="9"/>
  <c r="GA2" i="21" s="1"/>
  <c r="FI2" i="21"/>
  <c r="AB111" i="9"/>
  <c r="FJ2" i="21" s="1"/>
  <c r="J93" i="4"/>
  <c r="J103" i="7"/>
  <c r="AA37" i="11"/>
  <c r="HN2" i="21" s="1"/>
  <c r="V21" i="11"/>
  <c r="HG2" i="21" s="1"/>
  <c r="V16" i="11"/>
  <c r="AB90" i="9"/>
  <c r="AB92" i="9" s="1"/>
  <c r="AB117" i="9"/>
  <c r="AB119" i="9" s="1"/>
  <c r="AB99" i="9"/>
  <c r="AB101" i="9" s="1"/>
  <c r="I84" i="4"/>
  <c r="X34" i="4"/>
  <c r="Q34" i="4"/>
  <c r="J34" i="4"/>
  <c r="C34" i="4"/>
  <c r="M86" i="7"/>
  <c r="M92" i="7" s="1"/>
  <c r="M84" i="7"/>
  <c r="AV2" i="21" s="1"/>
  <c r="Z86" i="7"/>
  <c r="X49" i="7"/>
  <c r="Q49" i="7"/>
  <c r="C49" i="7"/>
  <c r="EZ2" i="21" l="1"/>
  <c r="ES2" i="21"/>
  <c r="FN2" i="21"/>
  <c r="HB2" i="21"/>
  <c r="V12" i="24"/>
  <c r="TF2" i="21" s="1"/>
  <c r="AY2" i="21"/>
  <c r="Z92" i="7"/>
  <c r="BC2" i="21" s="1"/>
  <c r="M73" i="4"/>
  <c r="CP2" i="21" s="1"/>
  <c r="CN2" i="21"/>
  <c r="AX2" i="21"/>
  <c r="BB2" i="21"/>
  <c r="M89" i="7"/>
  <c r="Z89" i="7"/>
  <c r="BA2" i="21" s="1"/>
  <c r="AB35" i="18"/>
  <c r="LC2" i="21" s="1"/>
  <c r="AB35" i="11"/>
  <c r="HK2" i="21" s="1"/>
  <c r="CS2" i="21"/>
  <c r="AB38" i="11"/>
  <c r="AB39" i="11"/>
  <c r="HQ2" i="21" s="1"/>
  <c r="AK104"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9" i="7"/>
  <c r="AB34" i="11"/>
  <c r="HJ2" i="21" s="1"/>
  <c r="AB34" i="18"/>
  <c r="LB2" i="21" s="1"/>
  <c r="J104" i="7"/>
  <c r="AK73" i="4"/>
  <c r="J92" i="4"/>
  <c r="AB32" i="9"/>
  <c r="DR2" i="21" s="1"/>
  <c r="AB29" i="9"/>
  <c r="DN2" i="21" s="1"/>
  <c r="H10" i="8"/>
  <c r="G10" i="8"/>
  <c r="H11" i="8"/>
  <c r="G11" i="8"/>
  <c r="AB74" i="9" l="1"/>
  <c r="AB84" i="9"/>
  <c r="EO2" i="21" s="1"/>
  <c r="EN2" i="21"/>
  <c r="AB33" i="18"/>
  <c r="AB33" i="11"/>
  <c r="HI2" i="21" s="1"/>
  <c r="I10" i="8"/>
  <c r="J10" i="8" s="1"/>
  <c r="I11" i="8"/>
  <c r="G5" i="8"/>
  <c r="Z84" i="7"/>
  <c r="AW2" i="21" s="1"/>
  <c r="H6" i="4"/>
  <c r="AK34" i="7"/>
  <c r="AB75" i="9" l="1"/>
  <c r="EH2" i="21" s="1"/>
  <c r="EG2" i="21"/>
  <c r="V5" i="9"/>
  <c r="DA2" i="21" s="1"/>
  <c r="BM2" i="21"/>
  <c r="AB42" i="18"/>
  <c r="AB51" i="18" s="1"/>
  <c r="LA2" i="21"/>
  <c r="AK105" i="7"/>
  <c r="BF2" i="21" s="1"/>
  <c r="AB42" i="11"/>
  <c r="AB51" i="11" s="1"/>
  <c r="AK106" i="7"/>
  <c r="BG2" i="21" s="1"/>
  <c r="K4" i="8"/>
  <c r="K5" i="8"/>
  <c r="K8" i="8"/>
  <c r="K9" i="8"/>
  <c r="K10" i="8"/>
  <c r="K7" i="8"/>
  <c r="K6" i="8"/>
  <c r="G9" i="8"/>
  <c r="G8" i="8"/>
  <c r="G4" i="8"/>
  <c r="G7" i="8"/>
  <c r="G6" i="8"/>
  <c r="H6" i="8"/>
  <c r="H9" i="8"/>
  <c r="H4" i="8"/>
  <c r="H5" i="8"/>
  <c r="H7" i="8"/>
  <c r="H8" i="8"/>
  <c r="HT2" i="21" l="1"/>
  <c r="LL2" i="21"/>
  <c r="J105" i="7"/>
  <c r="J106" i="7"/>
  <c r="I7" i="8"/>
  <c r="J7" i="8" s="1"/>
  <c r="I4" i="8"/>
  <c r="J4" i="8" s="1"/>
  <c r="I9" i="8"/>
  <c r="J9" i="8" s="1"/>
  <c r="I8" i="8"/>
  <c r="J8" i="8" s="1"/>
  <c r="I5" i="8"/>
  <c r="J5" i="8" s="1"/>
  <c r="I6" i="8"/>
  <c r="J6" i="8" s="1"/>
  <c r="LO2" i="21" l="1"/>
  <c r="HW2" i="21"/>
  <c r="LR2" i="21"/>
  <c r="HZ2" i="21"/>
  <c r="R111" i="7"/>
  <c r="D111" i="7"/>
  <c r="LM2" i="21" l="1"/>
  <c r="AI47" i="18"/>
  <c r="HU2" i="21"/>
  <c r="AH47" i="11"/>
  <c r="BH2" i="21"/>
  <c r="BI2" i="21"/>
  <c r="AK111" i="7"/>
  <c r="AL119" i="7" s="1"/>
  <c r="AO47" i="18" l="1"/>
  <c r="LN2" i="21"/>
  <c r="HV2" i="21"/>
  <c r="AU47" i="11"/>
  <c r="AL118" i="7"/>
  <c r="AL117" i="7"/>
  <c r="AL121" i="7"/>
  <c r="AL120" i="7"/>
  <c r="AL116" i="7"/>
  <c r="AL114" i="7"/>
  <c r="AL115"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97" i="4" l="1"/>
  <c r="CY2" i="21" s="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List>
</comments>
</file>

<file path=xl/sharedStrings.xml><?xml version="1.0" encoding="utf-8"?>
<sst xmlns="http://schemas.openxmlformats.org/spreadsheetml/2006/main" count="3746" uniqueCount="1786">
  <si>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</si>
  <si>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</si>
  <si>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</si>
  <si>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</si>
  <si>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</si>
  <si>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</si>
  <si>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</si>
  <si>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</si>
  <si>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</si>
  <si>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</si>
  <si>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</si>
  <si>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</si>
  <si>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</si>
  <si>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</si>
  <si>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</si>
  <si>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</si>
  <si>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</si>
  <si>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</si>
  <si>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</si>
  <si>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</si>
  <si>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</si>
  <si>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</si>
  <si>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</si>
  <si>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</si>
  <si>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</si>
  <si>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</si>
  <si>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</si>
  <si>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</si>
  <si>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</si>
  <si>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</si>
  <si>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</si>
  <si>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</si>
  <si>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</si>
  <si>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</si>
  <si>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</si>
  <si>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</si>
  <si>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</si>
  <si>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</si>
  <si>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</si>
  <si>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</si>
  <si>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</si>
  <si>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</si>
  <si>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</si>
  <si>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</si>
  <si>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</si>
  <si>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</si>
  <si>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</si>
  <si>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</si>
  <si>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</si>
  <si>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</si>
  <si>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</si>
  <si>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</si>
  <si>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</si>
  <si>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</si>
  <si>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</si>
  <si>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</si>
  <si>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</si>
  <si>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</si>
  <si>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</si>
  <si>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</si>
  <si>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</si>
  <si>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</si>
  <si>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</si>
  <si>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</si>
  <si>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</si>
  <si>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</si>
  <si>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</si>
  <si>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</si>
  <si>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</si>
  <si>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</si>
  <si>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</si>
  <si>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</si>
  <si>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</si>
  <si>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</si>
  <si>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</si>
  <si>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</si>
  <si>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</si>
  <si>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</si>
  <si>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</si>
  <si>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</si>
  <si>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</si>
  <si>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</si>
  <si>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</si>
  <si>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</si>
  <si>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</si>
  <si>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</si>
  <si>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</si>
  <si>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</si>
  <si>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</si>
  <si>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</si>
  <si>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</si>
  <si>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</si>
  <si>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</si>
  <si>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</si>
  <si>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</si>
  <si>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</si>
  <si>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</si>
  <si>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</si>
  <si>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</si>
  <si>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</si>
  <si>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</si>
  <si>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</si>
  <si>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</si>
  <si>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</si>
  <si>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</si>
  <si>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</si>
  <si>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</si>
  <si>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</si>
  <si>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</si>
  <si>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</si>
  <si>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</si>
  <si>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</si>
  <si>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</si>
  <si>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</si>
  <si>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</si>
  <si>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</si>
  <si>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</si>
  <si>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</si>
  <si>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</si>
  <si>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</si>
  <si>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</si>
  <si>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</si>
  <si>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</si>
  <si>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</si>
  <si>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</si>
  <si>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</si>
  <si>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</si>
  <si>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</si>
  <si>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</si>
  <si>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</si>
  <si>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</si>
  <si>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</si>
  <si>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</si>
  <si>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</si>
  <si>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</si>
  <si>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</si>
  <si>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</si>
  <si>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</si>
  <si>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</si>
  <si>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</si>
  <si>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</si>
  <si>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</si>
  <si>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</si>
  <si>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</si>
  <si>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</si>
  <si>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</si>
  <si>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</si>
  <si>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</si>
  <si>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</si>
  <si>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</si>
  <si>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</si>
  <si>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</si>
  <si>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</si>
  <si>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</si>
  <si>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</si>
  <si>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</si>
  <si>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</si>
  <si>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</si>
  <si>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</si>
  <si>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</si>
  <si>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</si>
  <si>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</si>
  <si>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</si>
  <si>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</si>
  <si>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</si>
  <si>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</si>
  <si>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</si>
  <si>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</si>
  <si>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</si>
  <si>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</si>
  <si>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</si>
  <si>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</si>
  <si>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</si>
  <si>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</si>
  <si>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</si>
  <si>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</si>
  <si>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</si>
  <si>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</si>
  <si>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</si>
  <si>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</si>
  <si>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</si>
  <si>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</si>
  <si>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</si>
  <si>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</si>
  <si>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</si>
  <si>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</si>
  <si>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</si>
  <si>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</si>
  <si>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</si>
  <si>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</si>
  <si>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</si>
  <si>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</si>
  <si>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</si>
  <si>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</si>
  <si>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</si>
  <si>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</si>
  <si>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</si>
  <si>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</si>
  <si>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</si>
  <si>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</si>
  <si>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</si>
  <si>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</si>
  <si>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</si>
  <si>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</si>
  <si>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</si>
  <si>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</si>
  <si>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</si>
  <si>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</si>
  <si>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</si>
  <si>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</si>
  <si>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</si>
  <si>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</si>
  <si>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</si>
  <si>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</si>
  <si>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</si>
  <si>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</si>
  <si>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</si>
  <si>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</si>
  <si>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</si>
  <si>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</si>
  <si>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</si>
  <si>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</si>
  <si>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</si>
  <si>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</si>
  <si>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</si>
  <si>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</si>
  <si>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</si>
  <si>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</si>
  <si>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</si>
  <si>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</si>
  <si>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</si>
  <si>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</si>
  <si>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</si>
  <si>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</si>
  <si>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</si>
  <si>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</si>
  <si>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</si>
  <si>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</si>
  <si>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</si>
  <si>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</si>
  <si>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</si>
  <si>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</si>
  <si>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</si>
  <si>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</si>
  <si>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</si>
  <si>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</si>
  <si>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</si>
  <si>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</si>
  <si>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</si>
  <si>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</si>
  <si>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</si>
  <si>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</si>
  <si>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</si>
  <si>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</si>
  <si>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</si>
  <si>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</si>
  <si>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</si>
  <si>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</si>
  <si>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</si>
  <si>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</si>
  <si>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</si>
  <si>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</si>
  <si>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</si>
  <si>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</si>
  <si>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</si>
  <si>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</si>
  <si>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</si>
  <si>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</si>
  <si>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</si>
  <si>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</si>
  <si>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</si>
  <si>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</si>
  <si>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</si>
  <si>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</si>
  <si>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</si>
  <si>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</si>
  <si>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</si>
  <si>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</si>
  <si>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</si>
  <si>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</si>
  <si>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</si>
  <si>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</si>
  <si>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</si>
  <si>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</si>
  <si>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</si>
  <si>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</si>
  <si>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</si>
  <si>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</si>
  <si>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</si>
  <si>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</si>
  <si>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</si>
  <si>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</si>
  <si>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</si>
  <si>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</si>
  <si>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</si>
  <si>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</si>
  <si>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</si>
  <si>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</si>
  <si>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</si>
  <si>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</si>
  <si>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</si>
  <si>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</si>
  <si>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</si>
  <si>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</si>
  <si>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</si>
  <si>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</si>
  <si>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</si>
  <si>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</si>
  <si>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</si>
  <si>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</si>
  <si>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</si>
  <si>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</si>
  <si>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</si>
  <si>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</si>
  <si>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</si>
  <si>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</si>
  <si>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</si>
  <si>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</si>
  <si>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</si>
  <si>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</si>
  <si>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</si>
  <si>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</si>
  <si>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</si>
  <si>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</si>
  <si>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</si>
  <si>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</si>
  <si>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</si>
  <si>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</si>
  <si>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</si>
  <si>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</si>
  <si>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</si>
  <si>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</si>
  <si>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</si>
  <si>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</si>
  <si>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</si>
  <si>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</si>
  <si>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</si>
  <si>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</si>
  <si>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</si>
  <si>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</si>
  <si>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</si>
  <si>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</si>
  <si>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</si>
  <si>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</si>
  <si>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</si>
  <si>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</si>
  <si>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</si>
  <si>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</si>
  <si>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</si>
  <si>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</si>
  <si>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</si>
  <si>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</si>
  <si>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</si>
  <si>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</si>
  <si>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</si>
  <si>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</si>
  <si>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</si>
  <si>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</si>
  <si>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</si>
  <si>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</si>
  <si>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</si>
  <si>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</si>
  <si>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</si>
  <si>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</si>
  <si>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</si>
  <si>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</si>
  <si>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</si>
  <si>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</si>
  <si>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</si>
  <si>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</si>
  <si>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</si>
  <si>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</si>
  <si>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</si>
  <si>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</si>
  <si>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</si>
  <si>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</si>
  <si>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</si>
  <si>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</si>
  <si>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</si>
  <si>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</si>
  <si>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</si>
  <si>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</si>
  <si>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</si>
  <si>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</si>
  <si>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</si>
  <si>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</si>
  <si>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</si>
  <si>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</si>
  <si>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</si>
  <si>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</si>
  <si>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</si>
  <si>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</si>
  <si>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</si>
  <si>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</si>
  <si>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</si>
  <si>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</si>
  <si>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</si>
  <si>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</si>
  <si>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</si>
  <si>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</si>
  <si>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</si>
  <si>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</si>
  <si>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</si>
  <si>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</si>
  <si>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</si>
  <si>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</si>
  <si>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</si>
  <si>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</si>
  <si>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</si>
  <si>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</si>
  <si>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</si>
  <si>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</si>
  <si>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</si>
  <si>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</si>
  <si>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</si>
  <si>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</si>
  <si>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</si>
  <si>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</si>
  <si>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</si>
  <si>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</si>
  <si>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</si>
  <si>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</si>
  <si>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</si>
  <si>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</si>
  <si>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</si>
  <si>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</si>
  <si>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</si>
  <si>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</si>
  <si>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</si>
  <si>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</si>
  <si>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</si>
  <si>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</si>
  <si>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</si>
  <si>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</si>
  <si>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</si>
  <si>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</si>
  <si>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</si>
  <si>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</si>
  <si>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</si>
  <si>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</si>
  <si>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</si>
  <si>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</si>
  <si>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</si>
  <si>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</si>
  <si>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</si>
  <si>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</si>
  <si>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</si>
  <si>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</si>
  <si>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</si>
  <si>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</si>
  <si>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</si>
  <si>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</si>
  <si>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</si>
  <si>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</si>
  <si>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</si>
  <si>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</si>
  <si>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</si>
  <si>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</si>
  <si>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</si>
  <si>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</si>
  <si>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</si>
  <si>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</si>
  <si>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</si>
  <si>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</si>
  <si>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</si>
  <si>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</si>
  <si>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</si>
  <si>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</si>
  <si>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</si>
  <si>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</si>
  <si>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</si>
  <si>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</si>
  <si>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</si>
  <si>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</si>
  <si>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</si>
  <si>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</si>
  <si>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</si>
  <si>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</si>
  <si>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</si>
  <si>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</si>
  <si>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</si>
  <si>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</si>
  <si>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</si>
  <si>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</si>
  <si>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</si>
  <si>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</si>
  <si>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</si>
  <si>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</si>
  <si>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</si>
  <si>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</si>
  <si>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</si>
  <si>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</si>
  <si>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</si>
  <si>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</si>
  <si>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</si>
  <si>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</si>
  <si>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</si>
  <si>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</si>
  <si>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</si>
  <si>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</si>
  <si>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</si>
  <si>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</si>
  <si>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</si>
  <si>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</si>
  <si>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</si>
  <si>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</si>
  <si>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</si>
  <si>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</si>
  <si>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</si>
  <si>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</si>
  <si>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</si>
  <si>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</si>
  <si>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</si>
  <si>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</si>
  <si>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</si>
  <si>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</si>
  <si>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</si>
  <si>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</si>
  <si>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</si>
  <si>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</si>
  <si>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</si>
  <si>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</si>
  <si>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</si>
  <si>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</si>
  <si>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</si>
  <si>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</si>
  <si>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</si>
  <si>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</si>
  <si>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</si>
  <si>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</si>
  <si>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</si>
  <si>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</si>
  <si>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</si>
  <si>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</si>
  <si>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</si>
  <si>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</si>
  <si>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</si>
  <si>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</si>
  <si>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</si>
  <si>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</si>
  <si>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</si>
  <si>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</si>
  <si>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</si>
  <si>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</si>
  <si>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</si>
  <si>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</si>
  <si>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</si>
  <si>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</si>
  <si>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</si>
  <si>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</si>
  <si>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</si>
  <si>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</si>
  <si>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</si>
  <si>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</si>
  <si>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</si>
  <si>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</si>
  <si>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</si>
  <si>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</si>
  <si>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</si>
  <si>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</si>
  <si>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</si>
  <si>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</si>
  <si>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</si>
  <si>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</si>
  <si>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</si>
  <si>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</si>
  <si>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</si>
  <si>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</si>
  <si>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</si>
  <si>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</si>
  <si>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</si>
  <si>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</si>
  <si>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</si>
  <si>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</si>
  <si>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</si>
  <si>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</si>
  <si>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</si>
  <si>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</si>
  <si>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</si>
  <si>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</si>
  <si>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</si>
  <si>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</si>
  <si>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</si>
  <si>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</si>
  <si>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</si>
  <si>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</si>
  <si>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</si>
  <si>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</si>
  <si>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</si>
  <si>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</si>
  <si>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</si>
  <si>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</si>
  <si>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</si>
  <si>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</si>
  <si>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</si>
  <si>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</si>
  <si>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</si>
  <si>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</si>
  <si>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</si>
  <si>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</si>
  <si>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</si>
  <si>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</si>
  <si>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</si>
  <si>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</si>
  <si>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</si>
  <si>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</si>
  <si>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</si>
  <si>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</si>
  <si>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</si>
  <si>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</si>
  <si>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</si>
  <si>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</si>
  <si>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</si>
  <si>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</si>
  <si>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</si>
  <si>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</si>
  <si>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</si>
  <si>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</si>
  <si>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</si>
  <si>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</si>
  <si>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</si>
  <si>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</si>
  <si>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</si>
  <si>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</si>
  <si>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</si>
  <si>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</si>
  <si>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</si>
  <si>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</si>
  <si>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</si>
  <si>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</si>
  <si>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</si>
  <si>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</si>
  <si>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</si>
  <si>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</si>
  <si>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</si>
  <si>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</si>
  <si>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</si>
  <si>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</si>
  <si>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</si>
  <si>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</si>
  <si>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</si>
  <si>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</si>
  <si>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</si>
  <si>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</si>
  <si>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</si>
  <si>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</si>
  <si>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</si>
  <si>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</si>
  <si>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</si>
  <si>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</si>
  <si>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</si>
  <si>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</si>
  <si>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</si>
  <si>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</si>
  <si>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</si>
  <si>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</si>
  <si>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</si>
  <si>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</si>
  <si>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</si>
  <si>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</si>
  <si>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</si>
  <si>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</si>
  <si>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</si>
  <si>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</si>
  <si>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</si>
  <si>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</si>
  <si>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</si>
  <si>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</si>
  <si>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</si>
  <si>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</si>
  <si>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</si>
  <si>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</si>
  <si>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</si>
  <si>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</si>
  <si>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</si>
  <si>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</si>
  <si>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</si>
  <si>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</si>
  <si>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</si>
  <si>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</si>
  <si>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</si>
  <si>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</si>
  <si>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</si>
  <si>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</si>
  <si>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</si>
  <si>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</si>
  <si>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</si>
  <si>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</si>
  <si>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</si>
  <si>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</si>
  <si>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</si>
  <si>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</si>
  <si>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</si>
  <si>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</si>
  <si>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</si>
  <si>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</si>
  <si>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</si>
  <si>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</si>
  <si>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</si>
  <si>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</si>
  <si>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</si>
  <si>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</si>
  <si>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</si>
  <si>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</si>
  <si>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</si>
  <si>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</si>
  <si>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</si>
  <si>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</si>
  <si>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</si>
  <si>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</si>
  <si>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</si>
  <si>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</si>
  <si>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</si>
  <si>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</si>
  <si>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</si>
  <si>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</si>
  <si>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</si>
  <si>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</si>
  <si>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</si>
  <si>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</si>
  <si>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</si>
  <si>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</si>
  <si>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</si>
  <si>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</si>
  <si>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</si>
  <si>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</si>
  <si>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</si>
  <si>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</si>
  <si>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</si>
  <si>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</si>
  <si>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</si>
  <si>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</si>
  <si>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</si>
  <si>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</si>
  <si>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</si>
  <si>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</si>
  <si>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</si>
  <si>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</si>
  <si>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</si>
  <si>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</si>
  <si>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</si>
  <si>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</si>
  <si>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</si>
  <si>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</si>
  <si>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</si>
  <si>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</si>
  <si>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</si>
  <si>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</si>
  <si>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</si>
  <si>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</si>
  <si>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</si>
  <si>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</si>
  <si>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</si>
  <si>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</si>
  <si>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</si>
  <si>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</si>
  <si>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</si>
  <si>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</si>
  <si>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</si>
  <si>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</si>
  <si>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</si>
  <si>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</si>
  <si>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</si>
  <si>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</si>
  <si>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</si>
  <si>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</si>
  <si>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</si>
  <si>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</si>
  <si>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</si>
  <si>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</si>
  <si>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</si>
  <si>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</si>
  <si>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</si>
  <si>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</si>
  <si>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</si>
  <si>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</si>
  <si>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</si>
  <si>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</si>
  <si>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</si>
  <si>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</si>
  <si>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</si>
  <si>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</si>
  <si>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</si>
  <si>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</si>
  <si>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</si>
  <si>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</si>
  <si>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</si>
  <si>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</si>
  <si>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</si>
  <si>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</si>
  <si>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</si>
  <si>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</si>
  <si>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</si>
  <si>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</si>
  <si>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</si>
  <si>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</si>
  <si>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</si>
  <si>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</si>
  <si>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</si>
  <si>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</si>
  <si>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</si>
  <si>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</si>
  <si>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</si>
  <si>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</si>
  <si>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</si>
  <si>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</si>
  <si>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</si>
  <si>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</si>
  <si>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</si>
  <si>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</si>
  <si>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</si>
  <si>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</si>
  <si>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</si>
  <si>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</si>
  <si>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</si>
  <si>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</si>
  <si>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</si>
  <si>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</si>
  <si>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</si>
  <si>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</si>
  <si>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</si>
  <si>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</si>
  <si>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</si>
  <si>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</si>
  <si>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</si>
  <si>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</si>
  <si>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</si>
  <si>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</si>
  <si>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</si>
  <si>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</si>
  <si>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</si>
  <si>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</si>
  <si>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</si>
  <si>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</si>
  <si>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</si>
  <si>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</si>
  <si>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</si>
  <si>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</si>
  <si>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</si>
  <si>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</si>
  <si>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</si>
  <si>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</si>
  <si>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</si>
  <si>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</si>
  <si>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</si>
  <si>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</si>
  <si>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</si>
  <si>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</si>
  <si>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</si>
  <si>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</si>
  <si>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</si>
  <si>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</si>
  <si>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</si>
  <si>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</si>
  <si>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</si>
  <si>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</si>
  <si>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</si>
  <si>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</si>
  <si>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</si>
  <si>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</si>
  <si>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</si>
  <si>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</si>
  <si>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</si>
  <si>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</si>
  <si>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</si>
  <si>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</si>
  <si>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</si>
  <si>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</si>
  <si>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</si>
  <si>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</si>
  <si>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</si>
  <si>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</si>
  <si>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</si>
  <si>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</si>
  <si>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</si>
  <si>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</si>
  <si>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</si>
  <si>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</si>
  <si>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</si>
  <si>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</si>
  <si>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</si>
  <si>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</si>
  <si>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</si>
  <si>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</si>
  <si>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</si>
  <si>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</si>
  <si>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</si>
  <si>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</si>
  <si>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</si>
  <si>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</si>
  <si>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</si>
  <si>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</si>
  <si>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</si>
  <si>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</si>
  <si>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</si>
  <si>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</si>
  <si>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</si>
  <si>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</si>
  <si>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</si>
  <si>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</si>
  <si>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</si>
  <si>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</si>
  <si>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</si>
  <si>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</si>
  <si>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</si>
  <si>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</si>
  <si>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</si>
  <si>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</si>
  <si>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</si>
  <si>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</si>
  <si>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</si>
  <si>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</si>
  <si>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</si>
  <si>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</si>
  <si>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</si>
  <si>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</si>
  <si>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</si>
  <si>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</si>
  <si>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</si>
  <si>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</si>
  <si>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</si>
  <si>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</si>
  <si>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</si>
  <si>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</si>
  <si>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</si>
  <si>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</si>
  <si>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</si>
  <si>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</si>
  <si>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</si>
  <si>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</si>
  <si>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</si>
  <si>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</si>
  <si>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</si>
  <si>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</si>
  <si>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</si>
  <si>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</si>
  <si>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</si>
  <si>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</si>
  <si>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</si>
  <si>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</si>
  <si>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</si>
  <si>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</si>
  <si>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</si>
  <si>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</si>
  <si>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</si>
  <si>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</si>
  <si>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</si>
  <si>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</si>
  <si>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</si>
  <si>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</si>
  <si>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</si>
  <si>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</si>
  <si>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</si>
  <si>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</si>
  <si>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</si>
  <si>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</si>
  <si>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</si>
  <si>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</si>
  <si>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</si>
  <si>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</si>
  <si>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</si>
  <si>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</si>
  <si>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</si>
  <si>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</si>
  <si>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</si>
  <si>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</si>
  <si>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</si>
  <si>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</si>
  <si>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</si>
  <si>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</si>
  <si>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</si>
  <si>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</si>
  <si>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</si>
  <si>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</si>
  <si>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</si>
  <si>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</si>
  <si>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</si>
  <si>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</si>
  <si>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</si>
  <si>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</si>
  <si>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</si>
  <si>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</si>
  <si>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</si>
  <si>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</si>
  <si>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</si>
  <si>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</si>
  <si>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</si>
  <si>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</si>
  <si>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</si>
  <si>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</si>
  <si>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</si>
  <si>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</si>
  <si>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</si>
  <si>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</si>
  <si>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</si>
  <si>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</si>
  <si>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</si>
  <si>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</si>
  <si>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</si>
  <si>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</si>
  <si>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</si>
  <si>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</si>
  <si>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</si>
  <si>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</si>
  <si>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</si>
  <si>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</si>
  <si>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</si>
  <si>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</si>
  <si>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</si>
  <si>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</si>
  <si>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</si>
  <si>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</si>
  <si>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</si>
  <si>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</si>
  <si>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</si>
  <si>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</si>
  <si>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</si>
  <si>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</si>
  <si>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</si>
  <si>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</si>
  <si>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</si>
  <si>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</si>
  <si>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</si>
  <si>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</si>
  <si>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</si>
  <si>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</si>
  <si>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</si>
  <si>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</si>
  <si>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</si>
  <si>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</si>
  <si>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</si>
  <si>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</si>
  <si>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</si>
  <si>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</si>
  <si>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</si>
  <si>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</si>
  <si>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</si>
  <si>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</si>
  <si>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</si>
  <si>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</si>
  <si>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</si>
  <si>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</si>
  <si>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</si>
  <si>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</si>
  <si>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</si>
  <si>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</si>
  <si>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</si>
  <si>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</si>
  <si>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</si>
  <si>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</si>
  <si>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</si>
  <si>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</si>
  <si>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</si>
  <si>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</si>
  <si>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</si>
  <si>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</si>
  <si>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</si>
  <si>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</si>
  <si>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</si>
  <si>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</si>
  <si>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</si>
  <si>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</si>
  <si>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</si>
  <si>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</si>
  <si>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</si>
  <si>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</si>
  <si>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</si>
  <si>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</si>
  <si>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</si>
  <si>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</si>
  <si>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</si>
  <si>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</si>
  <si>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</si>
  <si>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</si>
  <si>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</si>
  <si>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</si>
  <si>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</si>
  <si>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</si>
  <si>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</si>
  <si>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</si>
  <si>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</si>
  <si>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</si>
  <si>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</si>
  <si>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</si>
  <si>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</si>
  <si>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</si>
  <si>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</si>
  <si>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</si>
  <si>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</si>
  <si>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</si>
  <si>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</si>
  <si>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</si>
  <si>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</si>
  <si>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</si>
  <si>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</si>
  <si>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</si>
  <si>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</si>
  <si>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</si>
  <si>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</si>
  <si>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</si>
  <si>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</si>
  <si>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</si>
  <si>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</si>
  <si>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</si>
  <si>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</si>
  <si>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</si>
  <si>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</si>
  <si>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</si>
  <si>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</si>
  <si>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</si>
  <si>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</si>
  <si>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</si>
  <si>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</si>
  <si>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</si>
  <si>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</si>
  <si>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</si>
  <si>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</si>
  <si>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</si>
  <si>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</si>
  <si>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</si>
  <si>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</si>
  <si>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</si>
  <si>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</si>
  <si>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</si>
  <si>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</si>
  <si>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</si>
  <si>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</si>
  <si>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</si>
  <si>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</si>
  <si>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</si>
  <si>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</si>
  <si>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</si>
  <si>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</si>
  <si>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</si>
  <si>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</si>
  <si>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</si>
  <si>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</si>
  <si>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</si>
  <si>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</si>
  <si>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</si>
  <si>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</si>
  <si>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</si>
  <si>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</si>
  <si>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</si>
  <si>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</si>
  <si>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</si>
  <si>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</si>
  <si>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</si>
  <si>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</si>
  <si>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</si>
  <si>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</si>
  <si>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</si>
  <si>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</si>
  <si>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</si>
  <si>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</si>
  <si>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</si>
  <si>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</si>
  <si>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</si>
  <si>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</si>
  <si>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</si>
  <si>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</si>
  <si>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</si>
  <si>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</si>
  <si>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</si>
  <si>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</si>
  <si>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</si>
  <si>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</si>
  <si>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</si>
  <si>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</si>
  <si>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</si>
  <si>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</si>
  <si>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</si>
  <si>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</si>
  <si>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</si>
  <si>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</si>
  <si>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</si>
  <si>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</si>
  <si>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</si>
  <si>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</si>
  <si>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</si>
  <si>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</si>
  <si>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</si>
  <si>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</si>
  <si>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</si>
  <si>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</si>
  <si>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</si>
  <si>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</si>
  <si>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</si>
  <si>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</si>
  <si>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</si>
  <si>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</si>
  <si>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</si>
  <si>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</si>
  <si>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</si>
  <si>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</si>
  <si>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</si>
  <si>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</si>
  <si>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</si>
  <si>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</si>
  <si>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</si>
  <si>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</si>
  <si>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</si>
  <si>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</si>
  <si>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</si>
  <si>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</si>
  <si>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</si>
  <si>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</si>
  <si>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</si>
  <si>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</si>
  <si>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</si>
  <si>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</si>
  <si>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</si>
  <si>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</si>
  <si>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</si>
  <si>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</si>
  <si>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</si>
  <si>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</si>
  <si>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</si>
  <si>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</si>
  <si>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</si>
  <si>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</si>
  <si>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</si>
  <si>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</si>
  <si>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</si>
  <si>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</si>
  <si>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</si>
  <si>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</si>
  <si>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</si>
  <si>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</si>
  <si>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</si>
  <si>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</si>
  <si>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</si>
  <si>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</si>
  <si>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</si>
  <si>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</si>
  <si>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</si>
  <si>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</si>
  <si>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</si>
  <si>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</si>
  <si>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</si>
  <si>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</si>
  <si>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</si>
  <si>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</si>
  <si>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</si>
  <si>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</si>
  <si>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</si>
  <si>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</si>
  <si>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</si>
  <si>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</si>
  <si>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</si>
  <si>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</si>
  <si>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</si>
  <si>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</si>
  <si>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</si>
  <si>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</si>
  <si>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</si>
  <si>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</si>
  <si>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</si>
  <si>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</si>
  <si>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</si>
  <si>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</si>
  <si>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</si>
  <si>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</si>
  <si>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</si>
  <si>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</si>
  <si>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</si>
  <si>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</si>
  <si>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</si>
  <si>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</si>
  <si>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</si>
  <si>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</si>
  <si>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</si>
  <si>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</si>
  <si>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</si>
  <si>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</si>
  <si>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</si>
  <si>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</si>
  <si>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</si>
  <si>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</si>
  <si>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</si>
  <si>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</si>
  <si>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</si>
  <si>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</si>
  <si>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</si>
  <si>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</si>
  <si>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</si>
  <si>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</si>
  <si>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</si>
  <si>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</si>
  <si>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</si>
  <si>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</si>
  <si>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</si>
  <si>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</si>
  <si>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</si>
  <si>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</si>
  <si>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</si>
  <si>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</si>
  <si>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</si>
  <si>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</si>
  <si>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</si>
  <si>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</si>
  <si>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</si>
  <si>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</si>
  <si>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</si>
  <si>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</si>
  <si>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</si>
  <si>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</si>
  <si>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</si>
  <si>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</si>
  <si>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</si>
  <si>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</si>
  <si>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</si>
  <si>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</si>
  <si>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</si>
  <si>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</si>
  <si>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</si>
  <si>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</si>
  <si>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</si>
  <si>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</si>
  <si>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</si>
  <si>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</si>
  <si>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</si>
  <si>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</si>
  <si>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</si>
  <si>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</si>
  <si>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</si>
  <si>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</si>
  <si>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</si>
  <si>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</si>
  <si>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</si>
  <si>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</si>
  <si>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</si>
  <si>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</si>
  <si>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</si>
  <si>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</si>
  <si>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</si>
  <si>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</si>
  <si>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</si>
  <si>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</si>
  <si>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</si>
  <si>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</si>
  <si>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</si>
  <si>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</si>
  <si>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</si>
  <si>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</si>
  <si>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</si>
  <si>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</si>
  <si>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</si>
  <si>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</si>
  <si>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</si>
  <si>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</si>
  <si>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</si>
  <si>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</si>
  <si>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</si>
  <si>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</si>
  <si>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</si>
  <si>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</si>
  <si>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</si>
  <si>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</si>
  <si>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</si>
  <si>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</si>
  <si>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</si>
  <si>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</si>
  <si>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</si>
  <si>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</si>
  <si>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</si>
  <si>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</si>
  <si>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</si>
  <si>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</si>
  <si>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</si>
  <si>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</si>
  <si>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</si>
  <si>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</si>
  <si>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</si>
  <si>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</si>
  <si>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</si>
  <si>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</si>
  <si>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</si>
  <si>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</si>
  <si>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</si>
  <si>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</si>
  <si>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</si>
  <si>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</si>
  <si>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</si>
  <si>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</si>
  <si>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</si>
  <si>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</si>
  <si>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</si>
  <si>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</si>
  <si>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</si>
  <si>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</si>
  <si>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</si>
  <si>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</si>
  <si>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</si>
  <si>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</si>
  <si>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</si>
  <si>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</si>
  <si>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</si>
  <si>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</si>
  <si>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</si>
  <si>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</si>
  <si>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</si>
  <si>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</si>
  <si>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</si>
  <si>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</si>
  <si>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</si>
  <si>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</si>
  <si>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</si>
  <si>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</si>
  <si>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</si>
  <si>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</si>
  <si>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</si>
  <si>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</si>
  <si>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</si>
  <si>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</si>
  <si>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</si>
  <si>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</si>
  <si>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</si>
  <si>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</si>
  <si>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</si>
  <si>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</si>
  <si>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</si>
  <si>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</si>
  <si>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</si>
  <si>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</si>
  <si>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</si>
  <si>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</si>
  <si>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</si>
  <si>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</si>
  <si>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</si>
  <si>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</si>
  <si>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</si>
  <si>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</si>
  <si>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</si>
  <si>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</si>
  <si>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</si>
  <si>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</si>
  <si>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</si>
  <si>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</si>
  <si>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</si>
  <si>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</si>
  <si>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</si>
  <si>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</si>
  <si>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</si>
  <si>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</si>
  <si>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</si>
  <si>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</si>
  <si>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</si>
  <si>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</si>
  <si>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</si>
  <si>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</si>
  <si>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</si>
  <si>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</si>
  <si>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</si>
  <si>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</si>
  <si>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</si>
  <si>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</si>
  <si>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</si>
  <si>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</si>
  <si>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</si>
  <si>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</si>
  <si>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</si>
  <si>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</si>
  <si>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</si>
  <si>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</si>
  <si>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</si>
  <si>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</si>
  <si>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</si>
  <si>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</si>
  <si>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</si>
  <si>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</si>
  <si>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</si>
  <si>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</si>
  <si>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</si>
  <si>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</si>
  <si>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</si>
  <si>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</si>
  <si>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</si>
  <si>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</si>
  <si>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</si>
  <si>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</si>
  <si>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</si>
  <si>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</si>
  <si>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</si>
  <si>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</si>
  <si>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</si>
  <si>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</si>
  <si>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</si>
  <si>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</si>
  <si>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</si>
  <si>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</si>
  <si>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</si>
  <si>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</si>
  <si>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</si>
  <si>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</si>
  <si>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</si>
  <si>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</si>
  <si>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</si>
  <si>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</si>
  <si>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</si>
  <si>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</si>
  <si>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</si>
  <si>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</si>
  <si>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</si>
  <si>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</si>
  <si>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</si>
  <si>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</si>
  <si>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</si>
  <si>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</si>
  <si>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</si>
  <si>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</si>
  <si>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</si>
  <si>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</si>
  <si>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</si>
  <si>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</si>
  <si>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</si>
  <si>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</si>
  <si>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</si>
  <si>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</si>
  <si>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</si>
  <si>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</si>
  <si>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</si>
  <si>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</si>
  <si>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</si>
  <si>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</si>
  <si>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</si>
  <si>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</si>
  <si>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</si>
  <si>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</si>
  <si>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</si>
  <si>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</si>
  <si>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</si>
  <si>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</si>
  <si>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</si>
  <si>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</si>
  <si>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</si>
  <si>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</si>
  <si>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</si>
  <si>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</si>
  <si>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</si>
  <si>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</si>
  <si>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</si>
  <si>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</si>
  <si>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</si>
  <si>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</si>
  <si>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</si>
  <si>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</si>
  <si>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</si>
  <si>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</si>
  <si>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</si>
  <si>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</si>
  <si>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</si>
  <si>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</si>
  <si>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</si>
  <si>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</si>
  <si>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</si>
  <si>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</si>
  <si>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</si>
  <si>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</si>
  <si>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</si>
  <si>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</si>
  <si>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</si>
  <si>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</si>
  <si>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</si>
  <si>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</si>
  <si>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</si>
  <si>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</si>
  <si>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</si>
  <si>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</si>
  <si>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</si>
  <si>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</si>
  <si>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</si>
  <si>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</si>
  <si>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</si>
  <si>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</si>
  <si>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</si>
  <si>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</si>
  <si>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</si>
  <si>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</si>
  <si>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</si>
  <si>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</si>
  <si>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</si>
  <si>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</si>
  <si>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</si>
  <si>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</si>
  <si>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</si>
  <si>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</si>
  <si>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</si>
  <si>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</si>
  <si>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</si>
  <si>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</si>
  <si>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</si>
  <si>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</si>
  <si>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</si>
  <si>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</si>
  <si>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</si>
  <si>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</si>
  <si>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</si>
  <si>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</si>
  <si>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</si>
  <si>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</si>
  <si>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</si>
  <si>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</si>
  <si>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</si>
  <si>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</si>
  <si>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</si>
  <si>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</si>
  <si>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</si>
  <si>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</si>
  <si>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</si>
  <si>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</si>
  <si>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</si>
  <si>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</si>
  <si>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</si>
  <si>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</si>
  <si>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</si>
  <si>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</si>
  <si>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</si>
  <si>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</si>
  <si>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</si>
  <si>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</si>
  <si>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</si>
  <si>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</si>
  <si>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</si>
  <si>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</si>
  <si>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</si>
  <si>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</si>
  <si>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</si>
  <si>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</si>
  <si>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</si>
  <si>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</si>
  <si>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</si>
  <si>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</si>
  <si>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</si>
  <si>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</si>
  <si>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</si>
  <si>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</si>
  <si>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</si>
  <si>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</si>
  <si>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</si>
  <si>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</si>
  <si>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</si>
  <si>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</si>
  <si>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</si>
  <si>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</si>
  <si>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</si>
  <si>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</si>
  <si>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</si>
  <si>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</si>
  <si>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</si>
  <si>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</si>
  <si>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</si>
  <si>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</si>
  <si>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</si>
  <si>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</si>
  <si>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</si>
  <si>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</si>
  <si>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</si>
  <si>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</si>
  <si>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</si>
  <si>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</si>
  <si>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</si>
  <si>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</si>
  <si>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</si>
  <si>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</si>
  <si>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</si>
  <si>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</si>
  <si>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</si>
  <si>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</si>
  <si>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</si>
  <si>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</si>
  <si>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</si>
  <si>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</si>
  <si>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</si>
  <si>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</si>
  <si>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</si>
  <si>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</si>
  <si>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</si>
  <si>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</si>
  <si>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</si>
  <si>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</si>
  <si>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</si>
  <si>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</si>
  <si>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</si>
  <si>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</si>
  <si>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</si>
  <si>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</si>
  <si>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</si>
  <si>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</si>
  <si>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</si>
  <si>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</si>
  <si>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</si>
  <si>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</si>
  <si>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</si>
  <si>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</si>
  <si>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</si>
  <si>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</si>
  <si>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</si>
  <si>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</si>
  <si>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</si>
  <si>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</si>
  <si>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</si>
  <si>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</si>
  <si>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</si>
  <si>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</si>
  <si>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</si>
  <si>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</si>
  <si>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</si>
  <si>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</si>
  <si>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</si>
  <si>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</si>
  <si>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</si>
  <si>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</si>
  <si>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</si>
  <si>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</si>
  <si>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</si>
  <si>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</si>
  <si>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</si>
  <si>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</si>
  <si>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</si>
  <si>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</si>
  <si>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</si>
  <si>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</si>
  <si>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</si>
  <si>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</si>
  <si>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</si>
  <si>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</si>
  <si>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</si>
  <si>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</si>
  <si>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</si>
  <si>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</si>
  <si>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</si>
  <si>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</si>
  <si>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</si>
  <si>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</si>
  <si>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</si>
  <si>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</si>
  <si>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</si>
  <si>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</si>
  <si>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</si>
  <si>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</si>
  <si>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</si>
  <si>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</si>
  <si>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</si>
  <si>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</si>
  <si>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</si>
  <si>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</si>
  <si>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</si>
  <si>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</si>
  <si>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</si>
  <si>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</si>
  <si>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</si>
  <si>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</si>
  <si>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</si>
  <si>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</si>
  <si>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</si>
  <si>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</si>
  <si>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</si>
  <si>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</si>
  <si>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</si>
  <si>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</si>
  <si>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</si>
  <si>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</si>
  <si>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</si>
  <si>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</si>
  <si>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</si>
  <si>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</si>
  <si>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</si>
  <si>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</si>
  <si>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</si>
  <si>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</si>
  <si>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</si>
  <si>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</si>
  <si>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</si>
  <si>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</si>
  <si>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1234567</t>
    <phoneticPr fontId="1"/>
  </si>
  <si>
    <t>●●　●●</t>
    <phoneticPr fontId="1"/>
  </si>
  <si>
    <t>03-9999-9999</t>
    <phoneticPr fontId="1"/>
  </si>
  <si>
    <t>新規届出</t>
  </si>
  <si>
    <t>東京都千代田区霞が関X-X-X</t>
    <rPh sb="0" eb="3">
      <t>トウキョウト</t>
    </rPh>
    <rPh sb="3" eb="7">
      <t>チヨダク</t>
    </rPh>
    <rPh sb="7" eb="8">
      <t>カスミ</t>
    </rPh>
    <rPh sb="9" eb="10">
      <t>セキ</t>
    </rPh>
    <phoneticPr fontId="1"/>
  </si>
  <si>
    <t>関東信越厚生局長</t>
    <rPh sb="0" eb="6">
      <t>カントウシンエツコウセイ</t>
    </rPh>
    <rPh sb="6" eb="7">
      <t>キョク</t>
    </rPh>
    <rPh sb="7" eb="8">
      <t>チョウ</t>
    </rPh>
    <phoneticPr fontId="1"/>
  </si>
  <si>
    <t>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t>
    <phoneticPr fontId="1"/>
  </si>
  <si>
    <t>常勤職員に対して、ベースアップ評価料手当として月6,000円を従来の給与に上乗せして支給することとした。またパート職員についても、6,000円に個々の常勤換算数を乗じた金額を従来の給与に上乗せ支給することとした。</t>
    <phoneticPr fontId="1"/>
  </si>
  <si>
    <t>外来・在宅ベースアップ評価料（Ⅰ）
入院ベースアップ評価料57</t>
    <rPh sb="18" eb="20">
      <t>ニュウイン</t>
    </rPh>
    <phoneticPr fontId="1"/>
  </si>
  <si>
    <t>●●病院</t>
    <rPh sb="2" eb="4">
      <t>ビョウイン</t>
    </rPh>
    <phoneticPr fontId="1"/>
  </si>
  <si>
    <t>賃金規程の職種別賃金表を改定し、賃金水準の改善を図る。</t>
    <rPh sb="0" eb="2">
      <t>チンギン</t>
    </rPh>
    <rPh sb="2" eb="4">
      <t>キテイ</t>
    </rPh>
    <rPh sb="5" eb="7">
      <t>ショクシュ</t>
    </rPh>
    <rPh sb="7" eb="8">
      <t>ベツ</t>
    </rPh>
    <rPh sb="8" eb="10">
      <t>チンギン</t>
    </rPh>
    <rPh sb="10" eb="11">
      <t>ヒョウ</t>
    </rPh>
    <rPh sb="12" eb="14">
      <t>カイテイ</t>
    </rPh>
    <rPh sb="16" eb="18">
      <t>チンギン</t>
    </rPh>
    <rPh sb="18" eb="20">
      <t>スイジュン</t>
    </rPh>
    <rPh sb="21" eb="23">
      <t>カイゼン</t>
    </rPh>
    <rPh sb="24" eb="25">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</si>
</sst>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left" vertical="center"/>
    </xf>
    <xf numFmtId="0" fontId="9" fillId="0" borderId="0" xfId="1" applyFont="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externalLinks/externalLink6.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26" Target="../customXml/item1.xml" Type="http://schemas.openxmlformats.org/officeDocument/2006/relationships/customXml"/><Relationship Id="rId27" Target="../customXml/item2.xml" Type="http://schemas.openxmlformats.org/officeDocument/2006/relationships/customXml"/><Relationship Id="rId28"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O$18" lockText="1" noThreeD="1"/>
</file>

<file path=xl/ctrlProps/ctrlProp2.xml><?xml version="1.0" encoding="utf-8"?>
<formControlPr xmlns="http://schemas.microsoft.com/office/spreadsheetml/2009/9/main" objectType="CheckBox" checked="Checked" fmlaLink="$O$19" lockText="1" noThreeD="1"/>
</file>

<file path=xl/ctrlProps/ctrlProp3.xml><?xml version="1.0" encoding="utf-8"?>
<formControlPr xmlns="http://schemas.microsoft.com/office/spreadsheetml/2009/9/main" objectType="CheckBox" checked="Checked" fmlaLink="$O$20" lockText="1" noThreeD="1"/>
</file>

<file path=xl/ctrlProps/ctrlProp4.xml><?xml version="1.0" encoding="utf-8"?>
<formControlPr xmlns="http://schemas.microsoft.com/office/spreadsheetml/2009/9/main" objectType="CheckBox" checked="Checked" fmlaLink="$O$21" lockText="1" noThreeD="1"/>
</file>

<file path=xl/ctrlProps/ctrlProp5.xml><?xml version="1.0" encoding="utf-8"?>
<formControlPr xmlns="http://schemas.microsoft.com/office/spreadsheetml/2009/9/main" objectType="CheckBox" checked="Checked"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checked="Checked"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checked="Checked"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checked="Checked" firstButton="1" fmlaLink="$AM$11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checked="Checked" firstButton="1" fmlaLink="$AN$11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checked="Checked"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checked="Checked"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checked="Checked"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checked="Checked" fmlaLink="$AJ$145" lockText="1" noThreeD="1"/>
</file>

<file path=xl/ctrlProps/ctrlProp56.xml><?xml version="1.0" encoding="utf-8"?>
<formControlPr xmlns="http://schemas.microsoft.com/office/spreadsheetml/2009/9/main" objectType="Radio" checked="Checked"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checked="Checked" fmlaLink="$AI$145" lockText="1" noThreeD="1"/>
</file>

<file path=xl/ctrlProps/ctrlProp62.xml><?xml version="1.0" encoding="utf-8"?>
<formControlPr xmlns="http://schemas.microsoft.com/office/spreadsheetml/2009/9/main" objectType="Radio" checked="Checked"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xdr:colOff>
      <xdr:row>27</xdr:row>
      <xdr:rowOff>257175</xdr:rowOff>
    </xdr:from>
    <xdr:ext cx="1857375" cy="642484"/>
    <xdr:sp macro="" textlink="">
      <xdr:nvSpPr>
        <xdr:cNvPr id="2" name="テキスト ボックス 1">
          <a:extLst>
            <a:ext uri="{FF2B5EF4-FFF2-40B4-BE49-F238E27FC236}">
              <a16:creationId xmlns:a16="http://schemas.microsoft.com/office/drawing/2014/main" id="{FC60BAA9-B230-4DF6-A8DC-AB7AC04C1A3C}"/>
            </a:ext>
          </a:extLst>
        </xdr:cNvPr>
        <xdr:cNvSpPr txBox="1"/>
      </xdr:nvSpPr>
      <xdr:spPr>
        <a:xfrm>
          <a:off x="247650" y="7353300"/>
          <a:ext cx="185737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住所・医療機関名・開設者名を記載</a:t>
          </a:r>
        </a:p>
      </xdr:txBody>
    </xdr:sp>
    <xdr:clientData/>
  </xdr:oneCellAnchor>
  <xdr:twoCellAnchor>
    <xdr:from>
      <xdr:col>4</xdr:col>
      <xdr:colOff>457200</xdr:colOff>
      <xdr:row>27</xdr:row>
      <xdr:rowOff>133350</xdr:rowOff>
    </xdr:from>
    <xdr:to>
      <xdr:col>6</xdr:col>
      <xdr:colOff>266700</xdr:colOff>
      <xdr:row>29</xdr:row>
      <xdr:rowOff>102167</xdr:rowOff>
    </xdr:to>
    <xdr:cxnSp macro="">
      <xdr:nvCxnSpPr>
        <xdr:cNvPr id="3" name="直線矢印コネクタ 2">
          <a:extLst>
            <a:ext uri="{FF2B5EF4-FFF2-40B4-BE49-F238E27FC236}">
              <a16:creationId xmlns:a16="http://schemas.microsoft.com/office/drawing/2014/main" id="{4F14F130-C601-4872-B883-4105DDBCB50A}"/>
            </a:ext>
          </a:extLst>
        </xdr:cNvPr>
        <xdr:cNvCxnSpPr>
          <a:stCxn id="2" idx="3"/>
        </xdr:cNvCxnSpPr>
      </xdr:nvCxnSpPr>
      <xdr:spPr>
        <a:xfrm flipV="1">
          <a:off x="2105025" y="7229475"/>
          <a:ext cx="762000" cy="44506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457200</xdr:colOff>
      <xdr:row>29</xdr:row>
      <xdr:rowOff>102167</xdr:rowOff>
    </xdr:from>
    <xdr:to>
      <xdr:col>5</xdr:col>
      <xdr:colOff>371475</xdr:colOff>
      <xdr:row>29</xdr:row>
      <xdr:rowOff>114300</xdr:rowOff>
    </xdr:to>
    <xdr:cxnSp macro="">
      <xdr:nvCxnSpPr>
        <xdr:cNvPr id="5" name="直線矢印コネクタ 4">
          <a:extLst>
            <a:ext uri="{FF2B5EF4-FFF2-40B4-BE49-F238E27FC236}">
              <a16:creationId xmlns:a16="http://schemas.microsoft.com/office/drawing/2014/main" id="{0F4E8001-D65D-4554-B8E1-83597DFE8056}"/>
            </a:ext>
          </a:extLst>
        </xdr:cNvPr>
        <xdr:cNvCxnSpPr>
          <a:stCxn id="2" idx="3"/>
        </xdr:cNvCxnSpPr>
      </xdr:nvCxnSpPr>
      <xdr:spPr>
        <a:xfrm>
          <a:off x="2105025" y="7674542"/>
          <a:ext cx="39052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400050</xdr:colOff>
      <xdr:row>30</xdr:row>
      <xdr:rowOff>38100</xdr:rowOff>
    </xdr:from>
    <xdr:ext cx="2905125" cy="642484"/>
    <xdr:sp macro="" textlink="">
      <xdr:nvSpPr>
        <xdr:cNvPr id="6" name="テキスト ボックス 5">
          <a:extLst>
            <a:ext uri="{FF2B5EF4-FFF2-40B4-BE49-F238E27FC236}">
              <a16:creationId xmlns:a16="http://schemas.microsoft.com/office/drawing/2014/main" id="{EF81D775-EEA1-41E8-B4E7-6CAA8BF5B865}"/>
            </a:ext>
          </a:extLst>
        </xdr:cNvPr>
        <xdr:cNvSpPr txBox="1"/>
      </xdr:nvSpPr>
      <xdr:spPr>
        <a:xfrm>
          <a:off x="3000375" y="7896225"/>
          <a:ext cx="290512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届出を行う地方厚生（支）局長宛としてください</a:t>
          </a:r>
        </a:p>
      </xdr:txBody>
    </xdr:sp>
    <xdr:clientData/>
  </xdr:oneCellAnchor>
  <xdr:twoCellAnchor>
    <xdr:from>
      <xdr:col>5</xdr:col>
      <xdr:colOff>285750</xdr:colOff>
      <xdr:row>31</xdr:row>
      <xdr:rowOff>168842</xdr:rowOff>
    </xdr:from>
    <xdr:to>
      <xdr:col>6</xdr:col>
      <xdr:colOff>400050</xdr:colOff>
      <xdr:row>31</xdr:row>
      <xdr:rowOff>180975</xdr:rowOff>
    </xdr:to>
    <xdr:cxnSp macro="">
      <xdr:nvCxnSpPr>
        <xdr:cNvPr id="7" name="直線矢印コネクタ 6">
          <a:extLst>
            <a:ext uri="{FF2B5EF4-FFF2-40B4-BE49-F238E27FC236}">
              <a16:creationId xmlns:a16="http://schemas.microsoft.com/office/drawing/2014/main" id="{E129044D-E11F-459E-9F01-27E471793D48}"/>
            </a:ext>
          </a:extLst>
        </xdr:cNvPr>
        <xdr:cNvCxnSpPr>
          <a:stCxn id="6" idx="1"/>
        </xdr:cNvCxnSpPr>
      </xdr:nvCxnSpPr>
      <xdr:spPr>
        <a:xfrm flipH="1">
          <a:off x="2409825" y="8217467"/>
          <a:ext cx="590550"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6</xdr:col>
      <xdr:colOff>371475</xdr:colOff>
      <xdr:row>5</xdr:row>
      <xdr:rowOff>19050</xdr:rowOff>
    </xdr:from>
    <xdr:ext cx="2865905" cy="642484"/>
    <xdr:sp macro="" textlink="">
      <xdr:nvSpPr>
        <xdr:cNvPr id="8" name="テキスト ボックス 7">
          <a:extLst>
            <a:ext uri="{FF2B5EF4-FFF2-40B4-BE49-F238E27FC236}">
              <a16:creationId xmlns:a16="http://schemas.microsoft.com/office/drawing/2014/main" id="{049F28CB-E101-42EE-A61A-3C495040B387}"/>
            </a:ext>
          </a:extLst>
        </xdr:cNvPr>
        <xdr:cNvSpPr txBox="1"/>
      </xdr:nvSpPr>
      <xdr:spPr>
        <a:xfrm>
          <a:off x="2971800" y="9144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保険医療機関コードを７桁で入力</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（７桁以外の数字だとエラーが出ます）</a:t>
          </a:r>
        </a:p>
      </xdr:txBody>
    </xdr:sp>
    <xdr:clientData/>
  </xdr:oneCellAnchor>
  <xdr:oneCellAnchor>
    <xdr:from>
      <xdr:col>7</xdr:col>
      <xdr:colOff>152400</xdr:colOff>
      <xdr:row>9</xdr:row>
      <xdr:rowOff>133350</xdr:rowOff>
    </xdr:from>
    <xdr:ext cx="2865905" cy="367408"/>
    <xdr:sp macro="" textlink="">
      <xdr:nvSpPr>
        <xdr:cNvPr id="9" name="テキスト ボックス 8">
          <a:extLst>
            <a:ext uri="{FF2B5EF4-FFF2-40B4-BE49-F238E27FC236}">
              <a16:creationId xmlns:a16="http://schemas.microsoft.com/office/drawing/2014/main" id="{ED33188A-DB92-4EF1-8163-2E506D77042A}"/>
            </a:ext>
          </a:extLst>
        </xdr:cNvPr>
        <xdr:cNvSpPr txBox="1"/>
      </xdr:nvSpPr>
      <xdr:spPr>
        <a:xfrm>
          <a:off x="3228975" y="2028825"/>
          <a:ext cx="286590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届出の担当者名と電話番号を記載</a:t>
          </a:r>
        </a:p>
      </xdr:txBody>
    </xdr:sp>
    <xdr:clientData/>
  </xdr:oneCellAnchor>
  <xdr:oneCellAnchor>
    <xdr:from>
      <xdr:col>3</xdr:col>
      <xdr:colOff>266700</xdr:colOff>
      <xdr:row>10</xdr:row>
      <xdr:rowOff>276225</xdr:rowOff>
    </xdr:from>
    <xdr:ext cx="4591051" cy="642484"/>
    <xdr:sp macro="" textlink="">
      <xdr:nvSpPr>
        <xdr:cNvPr id="10" name="テキスト ボックス 9">
          <a:extLst>
            <a:ext uri="{FF2B5EF4-FFF2-40B4-BE49-F238E27FC236}">
              <a16:creationId xmlns:a16="http://schemas.microsoft.com/office/drawing/2014/main" id="{C4CCBAE4-3D2B-4466-A504-DCE8CDF77ACE}"/>
            </a:ext>
          </a:extLst>
        </xdr:cNvPr>
        <xdr:cNvSpPr txBox="1"/>
      </xdr:nvSpPr>
      <xdr:spPr>
        <a:xfrm>
          <a:off x="1438275" y="2457450"/>
          <a:ext cx="4591051"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該当する届出種別を選択し、</a:t>
          </a:r>
        </a:p>
        <a:p>
          <a:r>
            <a:rPr kumimoji="1" lang="ja-JP" altLang="en-US" sz="1100">
              <a:latin typeface="メイリオ" panose="020B0604030504040204" pitchFamily="50" charset="-128"/>
              <a:ea typeface="メイリオ" panose="020B0604030504040204" pitchFamily="50" charset="-128"/>
            </a:rPr>
            <a:t>入院ベースアップ評価料は区分番号（１～</a:t>
          </a:r>
          <a:r>
            <a:rPr kumimoji="1" lang="en-US" altLang="ja-JP" sz="1100">
              <a:latin typeface="メイリオ" panose="020B0604030504040204" pitchFamily="50" charset="-128"/>
              <a:ea typeface="メイリオ" panose="020B0604030504040204" pitchFamily="50" charset="-128"/>
            </a:rPr>
            <a:t>165</a:t>
          </a:r>
          <a:r>
            <a:rPr kumimoji="1" lang="ja-JP" altLang="en-US" sz="1100">
              <a:latin typeface="メイリオ" panose="020B0604030504040204" pitchFamily="50" charset="-128"/>
              <a:ea typeface="メイリオ" panose="020B0604030504040204" pitchFamily="50" charset="-128"/>
            </a:rPr>
            <a:t>）も記載してください</a:t>
          </a:r>
        </a:p>
      </xdr:txBody>
    </xdr:sp>
    <xdr:clientData/>
  </xdr:oneCellAnchor>
  <xdr:oneCellAnchor>
    <xdr:from>
      <xdr:col>1</xdr:col>
      <xdr:colOff>161925</xdr:colOff>
      <xdr:row>15</xdr:row>
      <xdr:rowOff>19050</xdr:rowOff>
    </xdr:from>
    <xdr:ext cx="3667126" cy="367408"/>
    <xdr:sp macro="" textlink="">
      <xdr:nvSpPr>
        <xdr:cNvPr id="11" name="テキスト ボックス 10">
          <a:extLst>
            <a:ext uri="{FF2B5EF4-FFF2-40B4-BE49-F238E27FC236}">
              <a16:creationId xmlns:a16="http://schemas.microsoft.com/office/drawing/2014/main" id="{D0A16445-8207-4897-85E4-22D3044FBD2F}"/>
            </a:ext>
          </a:extLst>
        </xdr:cNvPr>
        <xdr:cNvSpPr txBox="1"/>
      </xdr:nvSpPr>
      <xdr:spPr>
        <a:xfrm>
          <a:off x="381000" y="3533775"/>
          <a:ext cx="3667126"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それぞれの事項を確認のうえ、チェック</a:t>
          </a:r>
        </a:p>
      </xdr:txBody>
    </xdr:sp>
    <xdr:clientData/>
  </xdr:oneCellAnchor>
  <xdr:oneCellAnchor>
    <xdr:from>
      <xdr:col>7</xdr:col>
      <xdr:colOff>466725</xdr:colOff>
      <xdr:row>22</xdr:row>
      <xdr:rowOff>266700</xdr:rowOff>
    </xdr:from>
    <xdr:ext cx="1857375" cy="367408"/>
    <xdr:sp macro="" textlink="">
      <xdr:nvSpPr>
        <xdr:cNvPr id="12" name="テキスト ボックス 11">
          <a:extLst>
            <a:ext uri="{FF2B5EF4-FFF2-40B4-BE49-F238E27FC236}">
              <a16:creationId xmlns:a16="http://schemas.microsoft.com/office/drawing/2014/main" id="{0B8A5899-D1B2-4081-9C31-FA1F3C2F2443}"/>
            </a:ext>
          </a:extLst>
        </xdr:cNvPr>
        <xdr:cNvSpPr txBox="1"/>
      </xdr:nvSpPr>
      <xdr:spPr>
        <a:xfrm>
          <a:off x="3543300" y="6124575"/>
          <a:ext cx="185737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届出年月日を記載</a:t>
          </a:r>
        </a:p>
      </xdr:txBody>
    </xdr:sp>
    <xdr:clientData/>
  </xdr:oneCellAnchor>
  <xdr:twoCellAnchor>
    <xdr:from>
      <xdr:col>7</xdr:col>
      <xdr:colOff>95250</xdr:colOff>
      <xdr:row>23</xdr:row>
      <xdr:rowOff>164654</xdr:rowOff>
    </xdr:from>
    <xdr:to>
      <xdr:col>7</xdr:col>
      <xdr:colOff>466725</xdr:colOff>
      <xdr:row>24</xdr:row>
      <xdr:rowOff>28575</xdr:rowOff>
    </xdr:to>
    <xdr:cxnSp macro="">
      <xdr:nvCxnSpPr>
        <xdr:cNvPr id="13" name="直線矢印コネクタ 12">
          <a:extLst>
            <a:ext uri="{FF2B5EF4-FFF2-40B4-BE49-F238E27FC236}">
              <a16:creationId xmlns:a16="http://schemas.microsoft.com/office/drawing/2014/main" id="{AB6D090D-3F34-47E3-A66A-C718E57309ED}"/>
            </a:ext>
          </a:extLst>
        </xdr:cNvPr>
        <xdr:cNvCxnSpPr>
          <a:stCxn id="12" idx="1"/>
        </xdr:cNvCxnSpPr>
      </xdr:nvCxnSpPr>
      <xdr:spPr>
        <a:xfrm flipH="1">
          <a:off x="3171825" y="6308279"/>
          <a:ext cx="371475" cy="544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152400</xdr:colOff>
      <xdr:row>3</xdr:row>
      <xdr:rowOff>304800</xdr:rowOff>
    </xdr:from>
    <xdr:ext cx="2886075" cy="917559"/>
    <xdr:sp macro="" textlink="">
      <xdr:nvSpPr>
        <xdr:cNvPr id="2" name="テキスト ボックス 1">
          <a:extLst>
            <a:ext uri="{FF2B5EF4-FFF2-40B4-BE49-F238E27FC236}">
              <a16:creationId xmlns:a16="http://schemas.microsoft.com/office/drawing/2014/main" id="{30290568-7069-40E2-9C0B-6AA1BCCA0C97}"/>
            </a:ext>
          </a:extLst>
        </xdr:cNvPr>
        <xdr:cNvSpPr txBox="1"/>
      </xdr:nvSpPr>
      <xdr:spPr>
        <a:xfrm>
          <a:off x="4572000" y="1695450"/>
          <a:ext cx="2886075" cy="917559"/>
        </a:xfrm>
        <a:prstGeom prst="rect">
          <a:avLst/>
        </a:prstGeom>
        <a:solidFill>
          <a:srgbClr val="FFFFFF">
            <a:alpha val="69804"/>
          </a:srgb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緑色の箇所は記載不要（関連する箇所を記載すると自動的に記載されます）</a:t>
          </a:r>
          <a:endParaRPr lang="en-US" altLang="ja-JP" sz="1100" b="0" i="0" u="none" strike="noStrike" baseline="0">
            <a:solidFill>
              <a:srgbClr val="0070C0"/>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rgbClr val="0070C0"/>
              </a:solidFill>
              <a:latin typeface="メイリオ" panose="020B0604030504040204" pitchFamily="50" charset="-128"/>
              <a:ea typeface="メイリオ" panose="020B0604030504040204" pitchFamily="50" charset="-128"/>
              <a:cs typeface="+mn-cs"/>
            </a:rPr>
            <a:t>他の緑色の箇所も同じです。</a:t>
          </a:r>
          <a:endParaRPr kumimoji="1" lang="ja-JP" altLang="en-US" sz="1100">
            <a:solidFill>
              <a:srgbClr val="0070C0"/>
            </a:solidFill>
            <a:latin typeface="メイリオ" panose="020B0604030504040204" pitchFamily="50" charset="-128"/>
            <a:ea typeface="メイリオ" panose="020B0604030504040204" pitchFamily="50" charset="-128"/>
          </a:endParaRPr>
        </a:p>
      </xdr:txBody>
    </xdr:sp>
    <xdr:clientData/>
  </xdr:oneCellAnchor>
  <xdr:oneCellAnchor>
    <xdr:from>
      <xdr:col>7</xdr:col>
      <xdr:colOff>85725</xdr:colOff>
      <xdr:row>7</xdr:row>
      <xdr:rowOff>104775</xdr:rowOff>
    </xdr:from>
    <xdr:ext cx="2865905" cy="642484"/>
    <xdr:sp macro="" textlink="">
      <xdr:nvSpPr>
        <xdr:cNvPr id="3" name="テキスト ボックス 2">
          <a:extLst>
            <a:ext uri="{FF2B5EF4-FFF2-40B4-BE49-F238E27FC236}">
              <a16:creationId xmlns:a16="http://schemas.microsoft.com/office/drawing/2014/main" id="{907C36D7-A38B-4559-94AB-4494E698A6EB}"/>
            </a:ext>
          </a:extLst>
        </xdr:cNvPr>
        <xdr:cNvSpPr txBox="1"/>
      </xdr:nvSpPr>
      <xdr:spPr>
        <a:xfrm>
          <a:off x="2019300" y="3019425"/>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9</xdr:col>
      <xdr:colOff>161925</xdr:colOff>
      <xdr:row>12</xdr:row>
      <xdr:rowOff>114300</xdr:rowOff>
    </xdr:from>
    <xdr:ext cx="2865905" cy="642484"/>
    <xdr:sp macro="" textlink="">
      <xdr:nvSpPr>
        <xdr:cNvPr id="8" name="テキスト ボックス 7">
          <a:extLst>
            <a:ext uri="{FF2B5EF4-FFF2-40B4-BE49-F238E27FC236}">
              <a16:creationId xmlns:a16="http://schemas.microsoft.com/office/drawing/2014/main" id="{9BC320C8-670B-4E1E-994F-2882C7FD0B72}"/>
            </a:ext>
          </a:extLst>
        </xdr:cNvPr>
        <xdr:cNvSpPr txBox="1"/>
      </xdr:nvSpPr>
      <xdr:spPr>
        <a:xfrm>
          <a:off x="2647950" y="493395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該当するものを選択。医科・歯科併設医療機関は両方を選択できます。</a:t>
          </a:r>
        </a:p>
      </xdr:txBody>
    </xdr:sp>
    <xdr:clientData/>
  </xdr:oneCellAnchor>
  <xdr:oneCellAnchor>
    <xdr:from>
      <xdr:col>14</xdr:col>
      <xdr:colOff>9525</xdr:colOff>
      <xdr:row>16</xdr:row>
      <xdr:rowOff>257175</xdr:rowOff>
    </xdr:from>
    <xdr:ext cx="4371975" cy="867545"/>
    <xdr:sp macro="" textlink="">
      <xdr:nvSpPr>
        <xdr:cNvPr id="9" name="テキスト ボックス 8">
          <a:extLst>
            <a:ext uri="{FF2B5EF4-FFF2-40B4-BE49-F238E27FC236}">
              <a16:creationId xmlns:a16="http://schemas.microsoft.com/office/drawing/2014/main" id="{AE489B4A-B8CA-468D-97FD-7880EDC5A486}"/>
            </a:ext>
          </a:extLst>
        </xdr:cNvPr>
        <xdr:cNvSpPr txBox="1"/>
      </xdr:nvSpPr>
      <xdr:spPr>
        <a:xfrm>
          <a:off x="3876675" y="6600825"/>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102</xdr:row>
      <xdr:rowOff>11206</xdr:rowOff>
    </xdr:from>
    <xdr:to>
      <xdr:col>9</xdr:col>
      <xdr:colOff>-1</xdr:colOff>
      <xdr:row>106</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116</xdr:row>
          <xdr:rowOff>38100</xdr:rowOff>
        </xdr:from>
        <xdr:to>
          <xdr:col>4</xdr:col>
          <xdr:colOff>247650</xdr:colOff>
          <xdr:row>116</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117</xdr:row>
          <xdr:rowOff>38100</xdr:rowOff>
        </xdr:from>
        <xdr:to>
          <xdr:col>4</xdr:col>
          <xdr:colOff>247650</xdr:colOff>
          <xdr:row>117</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118</xdr:row>
          <xdr:rowOff>38100</xdr:rowOff>
        </xdr:from>
        <xdr:to>
          <xdr:col>4</xdr:col>
          <xdr:colOff>247650</xdr:colOff>
          <xdr:row>118</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304800</xdr:rowOff>
        </xdr:from>
        <xdr:to>
          <xdr:col>5</xdr:col>
          <xdr:colOff>0</xdr:colOff>
          <xdr:row>121</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116</xdr:row>
          <xdr:rowOff>38100</xdr:rowOff>
        </xdr:from>
        <xdr:to>
          <xdr:col>18</xdr:col>
          <xdr:colOff>247650</xdr:colOff>
          <xdr:row>116</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117</xdr:row>
          <xdr:rowOff>38100</xdr:rowOff>
        </xdr:from>
        <xdr:to>
          <xdr:col>18</xdr:col>
          <xdr:colOff>247650</xdr:colOff>
          <xdr:row>117</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38100</xdr:rowOff>
        </xdr:from>
        <xdr:to>
          <xdr:col>18</xdr:col>
          <xdr:colOff>247650</xdr:colOff>
          <xdr:row>118</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111</xdr:row>
          <xdr:rowOff>304800</xdr:rowOff>
        </xdr:from>
        <xdr:to>
          <xdr:col>19</xdr:col>
          <xdr:colOff>0</xdr:colOff>
          <xdr:row>121</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95</xdr:row>
      <xdr:rowOff>83344</xdr:rowOff>
    </xdr:from>
    <xdr:to>
      <xdr:col>30</xdr:col>
      <xdr:colOff>-1</xdr:colOff>
      <xdr:row>98</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93</xdr:row>
      <xdr:rowOff>21432</xdr:rowOff>
    </xdr:from>
    <xdr:to>
      <xdr:col>29</xdr:col>
      <xdr:colOff>247649</xdr:colOff>
      <xdr:row>94</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119</xdr:row>
          <xdr:rowOff>38100</xdr:rowOff>
        </xdr:from>
        <xdr:to>
          <xdr:col>4</xdr:col>
          <xdr:colOff>247650</xdr:colOff>
          <xdr:row>119</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120</xdr:row>
          <xdr:rowOff>38100</xdr:rowOff>
        </xdr:from>
        <xdr:to>
          <xdr:col>4</xdr:col>
          <xdr:colOff>247650</xdr:colOff>
          <xdr:row>120</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119</xdr:row>
          <xdr:rowOff>38100</xdr:rowOff>
        </xdr:from>
        <xdr:to>
          <xdr:col>18</xdr:col>
          <xdr:colOff>247650</xdr:colOff>
          <xdr:row>119</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120</xdr:row>
          <xdr:rowOff>38100</xdr:rowOff>
        </xdr:from>
        <xdr:to>
          <xdr:col>18</xdr:col>
          <xdr:colOff>247650</xdr:colOff>
          <xdr:row>120</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95250</xdr:colOff>
      <xdr:row>121</xdr:row>
      <xdr:rowOff>219075</xdr:rowOff>
    </xdr:from>
    <xdr:ext cx="2381249" cy="367408"/>
    <xdr:sp macro="" textlink="">
      <xdr:nvSpPr>
        <xdr:cNvPr id="5" name="テキスト ボックス 4">
          <a:extLst>
            <a:ext uri="{FF2B5EF4-FFF2-40B4-BE49-F238E27FC236}">
              <a16:creationId xmlns:a16="http://schemas.microsoft.com/office/drawing/2014/main" id="{22048049-54D9-4E1D-967D-E45A3BD4F359}"/>
            </a:ext>
          </a:extLst>
        </xdr:cNvPr>
        <xdr:cNvSpPr txBox="1"/>
      </xdr:nvSpPr>
      <xdr:spPr>
        <a:xfrm>
          <a:off x="2028825" y="34871025"/>
          <a:ext cx="2381249"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同じ区分を選択してください。</a:t>
          </a:r>
        </a:p>
      </xdr:txBody>
    </xdr:sp>
    <xdr:clientData/>
  </xdr:oneCellAnchor>
  <xdr:twoCellAnchor>
    <xdr:from>
      <xdr:col>4</xdr:col>
      <xdr:colOff>9525</xdr:colOff>
      <xdr:row>121</xdr:row>
      <xdr:rowOff>76201</xdr:rowOff>
    </xdr:from>
    <xdr:to>
      <xdr:col>7</xdr:col>
      <xdr:colOff>95251</xdr:colOff>
      <xdr:row>122</xdr:row>
      <xdr:rowOff>88455</xdr:rowOff>
    </xdr:to>
    <xdr:cxnSp macro="">
      <xdr:nvCxnSpPr>
        <xdr:cNvPr id="6" name="コネクタ: カギ線 5">
          <a:extLst>
            <a:ext uri="{FF2B5EF4-FFF2-40B4-BE49-F238E27FC236}">
              <a16:creationId xmlns:a16="http://schemas.microsoft.com/office/drawing/2014/main" id="{5C790AD0-F04D-4D6A-A418-764B37F22E06}"/>
            </a:ext>
          </a:extLst>
        </xdr:cNvPr>
        <xdr:cNvCxnSpPr>
          <a:stCxn id="5" idx="1"/>
        </xdr:cNvCxnSpPr>
      </xdr:nvCxnSpPr>
      <xdr:spPr>
        <a:xfrm rot="10800000">
          <a:off x="1114425" y="34728151"/>
          <a:ext cx="914401"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266699</xdr:colOff>
      <xdr:row>121</xdr:row>
      <xdr:rowOff>76200</xdr:rowOff>
    </xdr:from>
    <xdr:to>
      <xdr:col>18</xdr:col>
      <xdr:colOff>9524</xdr:colOff>
      <xdr:row>122</xdr:row>
      <xdr:rowOff>88454</xdr:rowOff>
    </xdr:to>
    <xdr:cxnSp macro="">
      <xdr:nvCxnSpPr>
        <xdr:cNvPr id="10" name="コネクタ: カギ線 9">
          <a:extLst>
            <a:ext uri="{FF2B5EF4-FFF2-40B4-BE49-F238E27FC236}">
              <a16:creationId xmlns:a16="http://schemas.microsoft.com/office/drawing/2014/main" id="{0B956632-8A78-4AC9-B206-CDF30978EF84}"/>
            </a:ext>
          </a:extLst>
        </xdr:cNvPr>
        <xdr:cNvCxnSpPr>
          <a:stCxn id="5" idx="3"/>
        </xdr:cNvCxnSpPr>
      </xdr:nvCxnSpPr>
      <xdr:spPr>
        <a:xfrm flipV="1">
          <a:off x="4410074" y="34728150"/>
          <a:ext cx="571500" cy="326579"/>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20</xdr:col>
      <xdr:colOff>95250</xdr:colOff>
      <xdr:row>90</xdr:row>
      <xdr:rowOff>180975</xdr:rowOff>
    </xdr:from>
    <xdr:ext cx="2800350" cy="617605"/>
    <xdr:sp macro="" textlink="">
      <xdr:nvSpPr>
        <xdr:cNvPr id="11" name="テキスト ボックス 10">
          <a:extLst>
            <a:ext uri="{FF2B5EF4-FFF2-40B4-BE49-F238E27FC236}">
              <a16:creationId xmlns:a16="http://schemas.microsoft.com/office/drawing/2014/main" id="{D1AA1A8B-A1F7-490B-8C02-FE38A4D02943}"/>
            </a:ext>
          </a:extLst>
        </xdr:cNvPr>
        <xdr:cNvSpPr txBox="1"/>
      </xdr:nvSpPr>
      <xdr:spPr>
        <a:xfrm>
          <a:off x="5619750" y="25803225"/>
          <a:ext cx="2800350"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メイリオ" panose="020B0604030504040204" pitchFamily="50" charset="-128"/>
              <a:ea typeface="メイリオ" panose="020B0604030504040204" pitchFamily="50" charset="-128"/>
            </a:rPr>
            <a:t>「（４）</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Ｂの値</a:t>
          </a:r>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rPr>
            <a:t>は８（１）「算定が可能となる区分」を判定するための数値</a:t>
          </a:r>
        </a:p>
      </xdr:txBody>
    </xdr:sp>
    <xdr:clientData/>
  </xdr:oneCellAnchor>
  <xdr:oneCellAnchor>
    <xdr:from>
      <xdr:col>13</xdr:col>
      <xdr:colOff>190499</xdr:colOff>
      <xdr:row>99</xdr:row>
      <xdr:rowOff>76200</xdr:rowOff>
    </xdr:from>
    <xdr:ext cx="5934074" cy="617605"/>
    <xdr:sp macro="" textlink="">
      <xdr:nvSpPr>
        <xdr:cNvPr id="12" name="テキスト ボックス 11">
          <a:extLst>
            <a:ext uri="{FF2B5EF4-FFF2-40B4-BE49-F238E27FC236}">
              <a16:creationId xmlns:a16="http://schemas.microsoft.com/office/drawing/2014/main" id="{53C8B770-F53C-4E48-8F83-6C0905358F40}"/>
            </a:ext>
          </a:extLst>
        </xdr:cNvPr>
        <xdr:cNvSpPr txBox="1"/>
      </xdr:nvSpPr>
      <xdr:spPr>
        <a:xfrm>
          <a:off x="3781424" y="28127325"/>
          <a:ext cx="5934074"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0">
              <a:latin typeface="メイリオ" panose="020B0604030504040204" pitchFamily="50" charset="-128"/>
              <a:ea typeface="メイリオ" panose="020B0604030504040204" pitchFamily="50" charset="-128"/>
            </a:rPr>
            <a:t>届出後の３・６・９・</a:t>
          </a:r>
          <a:r>
            <a:rPr kumimoji="1" lang="en-US" altLang="ja-JP" sz="1050" b="0">
              <a:latin typeface="メイリオ" panose="020B0604030504040204" pitchFamily="50" charset="-128"/>
              <a:ea typeface="メイリオ" panose="020B0604030504040204" pitchFamily="50" charset="-128"/>
            </a:rPr>
            <a:t>12</a:t>
          </a:r>
          <a:r>
            <a:rPr kumimoji="1" lang="ja-JP" altLang="en-US" sz="1050" b="0">
              <a:latin typeface="メイリオ" panose="020B0604030504040204" pitchFamily="50" charset="-128"/>
              <a:ea typeface="メイリオ" panose="020B0604030504040204" pitchFamily="50" charset="-128"/>
            </a:rPr>
            <a:t>月に様式</a:t>
          </a:r>
          <a:r>
            <a:rPr kumimoji="1" lang="en-US" altLang="ja-JP" sz="1050" b="0">
              <a:latin typeface="メイリオ" panose="020B0604030504040204" pitchFamily="50" charset="-128"/>
              <a:ea typeface="メイリオ" panose="020B0604030504040204" pitchFamily="50" charset="-128"/>
            </a:rPr>
            <a:t>96</a:t>
          </a:r>
          <a:r>
            <a:rPr kumimoji="1" lang="ja-JP" altLang="en-US" sz="1050" b="0">
              <a:latin typeface="メイリオ" panose="020B0604030504040204" pitchFamily="50" charset="-128"/>
              <a:ea typeface="メイリオ" panose="020B0604030504040204" pitchFamily="50" charset="-128"/>
            </a:rPr>
            <a:t>を再度記入します。以下のチェックのいずれかが該当なしの場合は、区分変更が必要です。</a:t>
          </a:r>
        </a:p>
      </xdr:txBody>
    </xdr:sp>
    <xdr:clientData/>
  </xdr:oneCellAnchor>
  <xdr:oneCellAnchor>
    <xdr:from>
      <xdr:col>14</xdr:col>
      <xdr:colOff>38100</xdr:colOff>
      <xdr:row>107</xdr:row>
      <xdr:rowOff>95250</xdr:rowOff>
    </xdr:from>
    <xdr:ext cx="5915024" cy="642484"/>
    <xdr:sp macro="" textlink="">
      <xdr:nvSpPr>
        <xdr:cNvPr id="13" name="テキスト ボックス 12">
          <a:extLst>
            <a:ext uri="{FF2B5EF4-FFF2-40B4-BE49-F238E27FC236}">
              <a16:creationId xmlns:a16="http://schemas.microsoft.com/office/drawing/2014/main" id="{AFAF9E07-4243-4CF5-922A-A432798E48DE}"/>
            </a:ext>
          </a:extLst>
        </xdr:cNvPr>
        <xdr:cNvSpPr txBox="1"/>
      </xdr:nvSpPr>
      <xdr:spPr>
        <a:xfrm>
          <a:off x="3905250" y="30470475"/>
          <a:ext cx="5915024"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（１）の算定が可能となる区分に基づき、届出する区分を選択します。</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（１）が算定不可となった場合は、届出を行うことはできません。</a:t>
          </a:r>
        </a:p>
      </xdr:txBody>
    </xdr:sp>
    <xdr:clientData/>
  </xdr:oneCellAnchor>
  <xdr:twoCellAnchor>
    <xdr:from>
      <xdr:col>18</xdr:col>
      <xdr:colOff>209549</xdr:colOff>
      <xdr:row>91</xdr:row>
      <xdr:rowOff>171450</xdr:rowOff>
    </xdr:from>
    <xdr:to>
      <xdr:col>20</xdr:col>
      <xdr:colOff>95250</xdr:colOff>
      <xdr:row>91</xdr:row>
      <xdr:rowOff>175453</xdr:rowOff>
    </xdr:to>
    <xdr:cxnSp macro="">
      <xdr:nvCxnSpPr>
        <xdr:cNvPr id="14" name="直線矢印コネクタ 13">
          <a:extLst>
            <a:ext uri="{FF2B5EF4-FFF2-40B4-BE49-F238E27FC236}">
              <a16:creationId xmlns:a16="http://schemas.microsoft.com/office/drawing/2014/main" id="{3B291AE6-759A-4FEF-A284-A3E84A3CF5D1}"/>
            </a:ext>
          </a:extLst>
        </xdr:cNvPr>
        <xdr:cNvCxnSpPr>
          <a:stCxn id="11" idx="1"/>
        </xdr:cNvCxnSpPr>
      </xdr:nvCxnSpPr>
      <xdr:spPr>
        <a:xfrm flipH="1" flipV="1">
          <a:off x="5181599" y="26108025"/>
          <a:ext cx="438151" cy="4003"/>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0</xdr:colOff>
      <xdr:row>100</xdr:row>
      <xdr:rowOff>137352</xdr:rowOff>
    </xdr:from>
    <xdr:to>
      <xdr:col>13</xdr:col>
      <xdr:colOff>190499</xdr:colOff>
      <xdr:row>101</xdr:row>
      <xdr:rowOff>123882</xdr:rowOff>
    </xdr:to>
    <xdr:cxnSp macro="">
      <xdr:nvCxnSpPr>
        <xdr:cNvPr id="16" name="コネクタ: カギ線 15">
          <a:extLst>
            <a:ext uri="{FF2B5EF4-FFF2-40B4-BE49-F238E27FC236}">
              <a16:creationId xmlns:a16="http://schemas.microsoft.com/office/drawing/2014/main" id="{B0965BBB-5AB3-43A7-B113-3E598B5355B3}"/>
            </a:ext>
          </a:extLst>
        </xdr:cNvPr>
        <xdr:cNvCxnSpPr>
          <a:stCxn id="12" idx="1"/>
        </xdr:cNvCxnSpPr>
      </xdr:nvCxnSpPr>
      <xdr:spPr>
        <a:xfrm rot="10800000" flipV="1">
          <a:off x="2762250" y="28436127"/>
          <a:ext cx="1019174" cy="300855"/>
        </a:xfrm>
        <a:prstGeom prst="bentConnector3">
          <a:avLst>
            <a:gd name="adj1" fmla="val 99533"/>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16</xdr:col>
      <xdr:colOff>76199</xdr:colOff>
      <xdr:row>60</xdr:row>
      <xdr:rowOff>66675</xdr:rowOff>
    </xdr:from>
    <xdr:ext cx="4134970" cy="367408"/>
    <xdr:sp macro="" textlink="">
      <xdr:nvSpPr>
        <xdr:cNvPr id="17" name="テキスト ボックス 16">
          <a:extLst>
            <a:ext uri="{FF2B5EF4-FFF2-40B4-BE49-F238E27FC236}">
              <a16:creationId xmlns:a16="http://schemas.microsoft.com/office/drawing/2014/main" id="{2439925E-465D-4957-970D-A1A80A59627C}"/>
            </a:ext>
          </a:extLst>
        </xdr:cNvPr>
        <xdr:cNvSpPr txBox="1"/>
      </xdr:nvSpPr>
      <xdr:spPr>
        <a:xfrm>
          <a:off x="4495799" y="16506825"/>
          <a:ext cx="413497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対象期間の１月当たりの平均回数（実績）①から⑧を入力</a:t>
          </a:r>
        </a:p>
      </xdr:txBody>
    </xdr:sp>
    <xdr:clientData/>
  </xdr:oneCellAnchor>
  <xdr:oneCellAnchor>
    <xdr:from>
      <xdr:col>17</xdr:col>
      <xdr:colOff>190499</xdr:colOff>
      <xdr:row>49</xdr:row>
      <xdr:rowOff>161925</xdr:rowOff>
    </xdr:from>
    <xdr:ext cx="3904130" cy="367408"/>
    <xdr:sp macro="" textlink="">
      <xdr:nvSpPr>
        <xdr:cNvPr id="18" name="テキスト ボックス 17">
          <a:extLst>
            <a:ext uri="{FF2B5EF4-FFF2-40B4-BE49-F238E27FC236}">
              <a16:creationId xmlns:a16="http://schemas.microsoft.com/office/drawing/2014/main" id="{94F496D1-650D-4A23-A15D-7F805B0E38B3}"/>
            </a:ext>
          </a:extLst>
        </xdr:cNvPr>
        <xdr:cNvSpPr txBox="1"/>
      </xdr:nvSpPr>
      <xdr:spPr>
        <a:xfrm>
          <a:off x="4886324" y="13592175"/>
          <a:ext cx="390413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u="none">
              <a:latin typeface="メイリオ" panose="020B0604030504040204" pitchFamily="50" charset="-128"/>
              <a:ea typeface="メイリオ" panose="020B0604030504040204" pitchFamily="50" charset="-128"/>
            </a:rPr>
            <a:t>※</a:t>
          </a:r>
          <a:r>
            <a:rPr kumimoji="1" lang="ja-JP" altLang="en-US" sz="1100" u="none">
              <a:latin typeface="メイリオ" panose="020B0604030504040204" pitchFamily="50" charset="-128"/>
              <a:ea typeface="メイリオ" panose="020B0604030504040204" pitchFamily="50" charset="-128"/>
            </a:rPr>
            <a:t>部分を良く読んだ上で、「対象職員の給与総額」を入力</a:t>
          </a:r>
          <a:endParaRPr kumimoji="1" lang="en-US" altLang="ja-JP" sz="1100" u="none">
            <a:latin typeface="メイリオ" panose="020B0604030504040204" pitchFamily="50" charset="-128"/>
            <a:ea typeface="メイリオ" panose="020B0604030504040204" pitchFamily="50" charset="-128"/>
          </a:endParaRPr>
        </a:p>
      </xdr:txBody>
    </xdr:sp>
    <xdr:clientData/>
  </xdr:oneCellAnchor>
  <xdr:oneCellAnchor>
    <xdr:from>
      <xdr:col>20</xdr:col>
      <xdr:colOff>28574</xdr:colOff>
      <xdr:row>80</xdr:row>
      <xdr:rowOff>114300</xdr:rowOff>
    </xdr:from>
    <xdr:ext cx="4295775" cy="1142877"/>
    <xdr:sp macro="" textlink="">
      <xdr:nvSpPr>
        <xdr:cNvPr id="19" name="テキスト ボックス 18">
          <a:extLst>
            <a:ext uri="{FF2B5EF4-FFF2-40B4-BE49-F238E27FC236}">
              <a16:creationId xmlns:a16="http://schemas.microsoft.com/office/drawing/2014/main" id="{50415632-A961-4091-8011-9931B48BD903}"/>
            </a:ext>
          </a:extLst>
        </xdr:cNvPr>
        <xdr:cNvSpPr txBox="1"/>
      </xdr:nvSpPr>
      <xdr:spPr>
        <a:xfrm>
          <a:off x="5553074" y="22840950"/>
          <a:ext cx="4295775" cy="1142877"/>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合計</a:t>
          </a:r>
          <a:r>
            <a:rPr kumimoji="1" lang="en-US" altLang="ja-JP" sz="1050" b="1">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は、ベースアップ評価料（</a:t>
          </a:r>
          <a:r>
            <a:rPr kumimoji="1" lang="en-US" altLang="ja-JP" sz="1050">
              <a:latin typeface="メイリオ" panose="020B0604030504040204" pitchFamily="50" charset="-128"/>
              <a:ea typeface="メイリオ" panose="020B0604030504040204" pitchFamily="50" charset="-128"/>
            </a:rPr>
            <a:t>Ⅰ</a:t>
          </a:r>
          <a:r>
            <a:rPr kumimoji="1" lang="ja-JP" altLang="en-US" sz="1050">
              <a:latin typeface="メイリオ" panose="020B0604030504040204" pitchFamily="50" charset="-128"/>
              <a:ea typeface="メイリオ" panose="020B0604030504040204" pitchFamily="50" charset="-128"/>
            </a:rPr>
            <a:t>）等の算定回数・点数の見込みが自動計算されます。</a:t>
          </a:r>
        </a:p>
        <a:p>
          <a:r>
            <a:rPr kumimoji="1" lang="ja-JP" altLang="en-US" sz="1050" b="1">
              <a:latin typeface="メイリオ" panose="020B0604030504040204" pitchFamily="50" charset="-128"/>
              <a:ea typeface="メイリオ" panose="020B0604030504040204" pitchFamily="50" charset="-128"/>
            </a:rPr>
            <a:t>「（３）外来・在宅ベースアップ評価料（</a:t>
          </a:r>
          <a:r>
            <a:rPr kumimoji="1" lang="en-US" altLang="ja-JP" sz="1050" b="1">
              <a:latin typeface="メイリオ" panose="020B0604030504040204" pitchFamily="50" charset="-128"/>
              <a:ea typeface="メイリオ" panose="020B0604030504040204" pitchFamily="50" charset="-128"/>
            </a:rPr>
            <a:t>Ⅰ</a:t>
          </a:r>
          <a:r>
            <a:rPr kumimoji="1" lang="ja-JP" altLang="en-US" sz="1050" b="1">
              <a:latin typeface="メイリオ" panose="020B0604030504040204" pitchFamily="50" charset="-128"/>
              <a:ea typeface="メイリオ" panose="020B0604030504040204" pitchFamily="50" charset="-128"/>
            </a:rPr>
            <a:t>）等により行われる給与の改善率」</a:t>
          </a:r>
          <a:r>
            <a:rPr kumimoji="1" lang="ja-JP" altLang="en-US" sz="1050">
              <a:latin typeface="メイリオ" panose="020B0604030504040204" pitchFamily="50" charset="-128"/>
              <a:ea typeface="メイリオ" panose="020B0604030504040204" pitchFamily="50" charset="-128"/>
            </a:rPr>
            <a:t>が</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以上の場合には評価料（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）は算定できません。</a:t>
          </a:r>
        </a:p>
      </xdr:txBody>
    </xdr:sp>
    <xdr:clientData/>
  </xdr:oneCellAnchor>
  <xdr:oneCellAnchor>
    <xdr:from>
      <xdr:col>18</xdr:col>
      <xdr:colOff>209549</xdr:colOff>
      <xdr:row>38</xdr:row>
      <xdr:rowOff>228600</xdr:rowOff>
    </xdr:from>
    <xdr:ext cx="4295775" cy="1405513"/>
    <xdr:sp macro="" textlink="">
      <xdr:nvSpPr>
        <xdr:cNvPr id="20" name="テキスト ボックス 19">
          <a:extLst>
            <a:ext uri="{FF2B5EF4-FFF2-40B4-BE49-F238E27FC236}">
              <a16:creationId xmlns:a16="http://schemas.microsoft.com/office/drawing/2014/main" id="{27449CD3-0A5E-4DE0-B7E9-74B2A6E10B5A}"/>
            </a:ext>
          </a:extLst>
        </xdr:cNvPr>
        <xdr:cNvSpPr txBox="1"/>
      </xdr:nvSpPr>
      <xdr:spPr>
        <a:xfrm>
          <a:off x="5181599" y="11772900"/>
          <a:ext cx="4295775" cy="1405513"/>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５に該当する場合にはチェック。５に該当しない場合は、評価料（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）を届け出ることはできません。</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詳細は「特掲診療料の施設基準等及びその届出に関する取扱いについて」（令和６年３月５日付保医発</a:t>
          </a:r>
          <a:r>
            <a:rPr kumimoji="1" lang="en-US" altLang="ja-JP" sz="1050">
              <a:latin typeface="メイリオ" panose="020B0604030504040204" pitchFamily="50" charset="-128"/>
              <a:ea typeface="メイリオ" panose="020B0604030504040204" pitchFamily="50" charset="-128"/>
            </a:rPr>
            <a:t>0305</a:t>
          </a:r>
          <a:r>
            <a:rPr kumimoji="1" lang="ja-JP" altLang="en-US" sz="1050">
              <a:latin typeface="メイリオ" panose="020B0604030504040204" pitchFamily="50" charset="-128"/>
              <a:ea typeface="メイリオ" panose="020B0604030504040204" pitchFamily="50" charset="-128"/>
            </a:rPr>
            <a:t>第６号）第</a:t>
          </a:r>
          <a:r>
            <a:rPr kumimoji="1" lang="en-US" altLang="ja-JP" sz="1050">
              <a:latin typeface="メイリオ" panose="020B0604030504040204" pitchFamily="50" charset="-128"/>
              <a:ea typeface="メイリオ" panose="020B0604030504040204" pitchFamily="50" charset="-128"/>
            </a:rPr>
            <a:t>106 </a:t>
          </a:r>
          <a:r>
            <a:rPr kumimoji="1" lang="ja-JP" altLang="en-US" sz="1050">
              <a:latin typeface="メイリオ" panose="020B0604030504040204" pitchFamily="50" charset="-128"/>
              <a:ea typeface="メイリオ" panose="020B0604030504040204" pitchFamily="50" charset="-128"/>
            </a:rPr>
            <a:t>を参照してください</a:t>
          </a:r>
        </a:p>
      </xdr:txBody>
    </xdr:sp>
    <xdr:clientData/>
  </xdr:oneCellAnchor>
  <xdr:twoCellAnchor>
    <xdr:from>
      <xdr:col>26</xdr:col>
      <xdr:colOff>147637</xdr:colOff>
      <xdr:row>37</xdr:row>
      <xdr:rowOff>180975</xdr:rowOff>
    </xdr:from>
    <xdr:to>
      <xdr:col>29</xdr:col>
      <xdr:colOff>142874</xdr:colOff>
      <xdr:row>38</xdr:row>
      <xdr:rowOff>228600</xdr:rowOff>
    </xdr:to>
    <xdr:cxnSp macro="">
      <xdr:nvCxnSpPr>
        <xdr:cNvPr id="21" name="直線矢印コネクタ 20">
          <a:extLst>
            <a:ext uri="{FF2B5EF4-FFF2-40B4-BE49-F238E27FC236}">
              <a16:creationId xmlns:a16="http://schemas.microsoft.com/office/drawing/2014/main" id="{CE593613-F48E-482C-889C-82093699158A}"/>
            </a:ext>
          </a:extLst>
        </xdr:cNvPr>
        <xdr:cNvCxnSpPr>
          <a:stCxn id="20" idx="0"/>
        </xdr:cNvCxnSpPr>
      </xdr:nvCxnSpPr>
      <xdr:spPr>
        <a:xfrm flipV="1">
          <a:off x="7329487" y="11410950"/>
          <a:ext cx="823912" cy="36195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16</xdr:col>
      <xdr:colOff>238124</xdr:colOff>
      <xdr:row>50</xdr:row>
      <xdr:rowOff>31304</xdr:rowOff>
    </xdr:from>
    <xdr:to>
      <xdr:col>17</xdr:col>
      <xdr:colOff>190499</xdr:colOff>
      <xdr:row>50</xdr:row>
      <xdr:rowOff>285750</xdr:rowOff>
    </xdr:to>
    <xdr:cxnSp macro="">
      <xdr:nvCxnSpPr>
        <xdr:cNvPr id="22" name="コネクタ: カギ線 21">
          <a:extLst>
            <a:ext uri="{FF2B5EF4-FFF2-40B4-BE49-F238E27FC236}">
              <a16:creationId xmlns:a16="http://schemas.microsoft.com/office/drawing/2014/main" id="{C9180C94-3EFE-44E2-A1A6-7E6B1AFDFA34}"/>
            </a:ext>
          </a:extLst>
        </xdr:cNvPr>
        <xdr:cNvCxnSpPr>
          <a:stCxn id="18" idx="1"/>
        </xdr:cNvCxnSpPr>
      </xdr:nvCxnSpPr>
      <xdr:spPr>
        <a:xfrm rot="10800000" flipV="1">
          <a:off x="4657724" y="13775879"/>
          <a:ext cx="228600" cy="254446"/>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114300</xdr:colOff>
      <xdr:row>60</xdr:row>
      <xdr:rowOff>250378</xdr:rowOff>
    </xdr:from>
    <xdr:to>
      <xdr:col>16</xdr:col>
      <xdr:colOff>76200</xdr:colOff>
      <xdr:row>61</xdr:row>
      <xdr:rowOff>238124</xdr:rowOff>
    </xdr:to>
    <xdr:cxnSp macro="">
      <xdr:nvCxnSpPr>
        <xdr:cNvPr id="23" name="コネクタ: カギ線 22">
          <a:extLst>
            <a:ext uri="{FF2B5EF4-FFF2-40B4-BE49-F238E27FC236}">
              <a16:creationId xmlns:a16="http://schemas.microsoft.com/office/drawing/2014/main" id="{7D534738-C8B8-4E54-BE13-B3DABA6213B5}"/>
            </a:ext>
          </a:extLst>
        </xdr:cNvPr>
        <xdr:cNvCxnSpPr>
          <a:stCxn id="17" idx="1"/>
        </xdr:cNvCxnSpPr>
      </xdr:nvCxnSpPr>
      <xdr:spPr>
        <a:xfrm rot="10800000" flipV="1">
          <a:off x="4257675" y="16690528"/>
          <a:ext cx="238125" cy="302071"/>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180977</xdr:colOff>
      <xdr:row>82</xdr:row>
      <xdr:rowOff>57088</xdr:rowOff>
    </xdr:from>
    <xdr:to>
      <xdr:col>20</xdr:col>
      <xdr:colOff>28575</xdr:colOff>
      <xdr:row>82</xdr:row>
      <xdr:rowOff>266697</xdr:rowOff>
    </xdr:to>
    <xdr:cxnSp macro="">
      <xdr:nvCxnSpPr>
        <xdr:cNvPr id="24" name="コネクタ: カギ線 23">
          <a:extLst>
            <a:ext uri="{FF2B5EF4-FFF2-40B4-BE49-F238E27FC236}">
              <a16:creationId xmlns:a16="http://schemas.microsoft.com/office/drawing/2014/main" id="{DD56D43F-52F5-47FF-B6A3-E7863D75C96A}"/>
            </a:ext>
          </a:extLst>
        </xdr:cNvPr>
        <xdr:cNvCxnSpPr>
          <a:stCxn id="19" idx="1"/>
        </xdr:cNvCxnSpPr>
      </xdr:nvCxnSpPr>
      <xdr:spPr>
        <a:xfrm rot="10800000" flipV="1">
          <a:off x="4876802" y="23412388"/>
          <a:ext cx="676273" cy="209609"/>
        </a:xfrm>
        <a:prstGeom prst="bentConnector3">
          <a:avLst>
            <a:gd name="adj1" fmla="val 99296"/>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18</xdr:col>
      <xdr:colOff>238124</xdr:colOff>
      <xdr:row>31</xdr:row>
      <xdr:rowOff>47625</xdr:rowOff>
    </xdr:from>
    <xdr:ext cx="4371975" cy="867545"/>
    <xdr:sp macro="" textlink="">
      <xdr:nvSpPr>
        <xdr:cNvPr id="25" name="テキスト ボックス 24">
          <a:extLst>
            <a:ext uri="{FF2B5EF4-FFF2-40B4-BE49-F238E27FC236}">
              <a16:creationId xmlns:a16="http://schemas.microsoft.com/office/drawing/2014/main" id="{E76ACE90-178D-4593-9222-5C8066D964BA}"/>
            </a:ext>
          </a:extLst>
        </xdr:cNvPr>
        <xdr:cNvSpPr txBox="1"/>
      </xdr:nvSpPr>
      <xdr:spPr>
        <a:xfrm>
          <a:off x="5210174" y="9486900"/>
          <a:ext cx="4371975" cy="86754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対象職員（常勤換算）数を入力</a:t>
          </a:r>
          <a:endParaRPr kumimoji="1" lang="en-US" altLang="ja-JP" sz="1100">
            <a:latin typeface="メイリオ" panose="020B0604030504040204" pitchFamily="50" charset="-128"/>
            <a:ea typeface="メイリオ" panose="020B0604030504040204" pitchFamily="50" charset="-128"/>
          </a:endParaRPr>
        </a:p>
        <a:p>
          <a:r>
            <a:rPr kumimoji="1" lang="ja-JP" altLang="en-US" sz="1000">
              <a:latin typeface="メイリオ" panose="020B0604030504040204" pitchFamily="50" charset="-128"/>
              <a:ea typeface="メイリオ" panose="020B0604030504040204" pitchFamily="50" charset="-128"/>
            </a:rPr>
            <a:t>常勤職員の所定労働時間が週</a:t>
          </a:r>
          <a:r>
            <a:rPr kumimoji="1" lang="en-US" altLang="ja-JP" sz="1000">
              <a:latin typeface="メイリオ" panose="020B0604030504040204" pitchFamily="50" charset="-128"/>
              <a:ea typeface="メイリオ" panose="020B0604030504040204" pitchFamily="50" charset="-128"/>
            </a:rPr>
            <a:t>40</a:t>
          </a:r>
          <a:r>
            <a:rPr kumimoji="1" lang="ja-JP" altLang="en-US" sz="1000">
              <a:latin typeface="メイリオ" panose="020B0604030504040204" pitchFamily="50" charset="-128"/>
              <a:ea typeface="メイリオ" panose="020B0604030504040204" pitchFamily="50" charset="-128"/>
            </a:rPr>
            <a:t>時間となっている医療機関で、週</a:t>
          </a:r>
          <a:r>
            <a:rPr kumimoji="1" lang="en-US" altLang="ja-JP" sz="1000">
              <a:latin typeface="メイリオ" panose="020B0604030504040204" pitchFamily="50" charset="-128"/>
              <a:ea typeface="メイリオ" panose="020B0604030504040204" pitchFamily="50" charset="-128"/>
            </a:rPr>
            <a:t>20</a:t>
          </a:r>
          <a:r>
            <a:rPr kumimoji="1" lang="ja-JP" altLang="en-US" sz="1000">
              <a:latin typeface="メイリオ" panose="020B0604030504040204" pitchFamily="50" charset="-128"/>
              <a:ea typeface="メイリオ" panose="020B0604030504040204" pitchFamily="50" charset="-128"/>
            </a:rPr>
            <a:t>時間が所定労働時間である非常勤職員は、</a:t>
          </a:r>
          <a:r>
            <a:rPr kumimoji="1" lang="en-US" altLang="ja-JP" sz="1000">
              <a:latin typeface="メイリオ" panose="020B0604030504040204" pitchFamily="50" charset="-128"/>
              <a:ea typeface="メイリオ" panose="020B0604030504040204" pitchFamily="50" charset="-128"/>
            </a:rPr>
            <a:t>20÷40</a:t>
          </a:r>
          <a:r>
            <a:rPr kumimoji="1" lang="ja-JP" altLang="en-US" sz="1000">
              <a:latin typeface="メイリオ" panose="020B0604030504040204" pitchFamily="50" charset="-128"/>
              <a:ea typeface="メイリオ" panose="020B0604030504040204" pitchFamily="50" charset="-128"/>
            </a:rPr>
            <a:t>で</a:t>
          </a:r>
          <a:r>
            <a:rPr kumimoji="1" lang="en-US" altLang="ja-JP" sz="1000">
              <a:latin typeface="メイリオ" panose="020B0604030504040204" pitchFamily="50" charset="-128"/>
              <a:ea typeface="メイリオ" panose="020B0604030504040204" pitchFamily="50" charset="-128"/>
            </a:rPr>
            <a:t>0.5</a:t>
          </a:r>
          <a:r>
            <a:rPr kumimoji="1" lang="ja-JP" altLang="en-US" sz="1000">
              <a:latin typeface="メイリオ" panose="020B0604030504040204" pitchFamily="50" charset="-128"/>
              <a:ea typeface="メイリオ" panose="020B0604030504040204" pitchFamily="50" charset="-128"/>
            </a:rPr>
            <a:t>人として計算します。</a:t>
          </a:r>
        </a:p>
      </xdr:txBody>
    </xdr:sp>
    <xdr:clientData/>
  </xdr:oneCellAnchor>
  <xdr:twoCellAnchor>
    <xdr:from>
      <xdr:col>15</xdr:col>
      <xdr:colOff>123824</xdr:colOff>
      <xdr:row>32</xdr:row>
      <xdr:rowOff>167073</xdr:rowOff>
    </xdr:from>
    <xdr:to>
      <xdr:col>18</xdr:col>
      <xdr:colOff>238124</xdr:colOff>
      <xdr:row>33</xdr:row>
      <xdr:rowOff>104775</xdr:rowOff>
    </xdr:to>
    <xdr:cxnSp macro="">
      <xdr:nvCxnSpPr>
        <xdr:cNvPr id="26" name="直線矢印コネクタ 25">
          <a:extLst>
            <a:ext uri="{FF2B5EF4-FFF2-40B4-BE49-F238E27FC236}">
              <a16:creationId xmlns:a16="http://schemas.microsoft.com/office/drawing/2014/main" id="{03FDC146-14FC-4281-A76C-50DE404A9656}"/>
            </a:ext>
          </a:extLst>
        </xdr:cNvPr>
        <xdr:cNvCxnSpPr>
          <a:stCxn id="25" idx="1"/>
        </xdr:cNvCxnSpPr>
      </xdr:nvCxnSpPr>
      <xdr:spPr>
        <a:xfrm flipH="1">
          <a:off x="4267199" y="9920673"/>
          <a:ext cx="942975" cy="252027"/>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24</xdr:col>
      <xdr:colOff>19049</xdr:colOff>
      <xdr:row>8</xdr:row>
      <xdr:rowOff>95250</xdr:rowOff>
    </xdr:from>
    <xdr:ext cx="2865905" cy="642484"/>
    <xdr:sp macro="" textlink="">
      <xdr:nvSpPr>
        <xdr:cNvPr id="27" name="テキスト ボックス 26">
          <a:extLst>
            <a:ext uri="{FF2B5EF4-FFF2-40B4-BE49-F238E27FC236}">
              <a16:creationId xmlns:a16="http://schemas.microsoft.com/office/drawing/2014/main" id="{13849B9E-ADFA-4EC3-AF75-FAFF8BAA5634}"/>
            </a:ext>
          </a:extLst>
        </xdr:cNvPr>
        <xdr:cNvSpPr txBox="1"/>
      </xdr:nvSpPr>
      <xdr:spPr>
        <a:xfrm>
          <a:off x="6648449" y="2552700"/>
          <a:ext cx="2865905" cy="642484"/>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届出を行う評価料を選択。医科・歯科併設医療機関は両方を選択できます。</a:t>
          </a:r>
        </a:p>
      </xdr:txBody>
    </xdr:sp>
    <xdr:clientData/>
  </xdr:oneCellAnchor>
  <xdr:oneCellAnchor>
    <xdr:from>
      <xdr:col>26</xdr:col>
      <xdr:colOff>38098</xdr:colOff>
      <xdr:row>14</xdr:row>
      <xdr:rowOff>66675</xdr:rowOff>
    </xdr:from>
    <xdr:ext cx="2333625" cy="367408"/>
    <xdr:sp macro="" textlink="">
      <xdr:nvSpPr>
        <xdr:cNvPr id="28" name="テキスト ボックス 27">
          <a:extLst>
            <a:ext uri="{FF2B5EF4-FFF2-40B4-BE49-F238E27FC236}">
              <a16:creationId xmlns:a16="http://schemas.microsoft.com/office/drawing/2014/main" id="{41857E73-D3F6-478C-807A-41903BB02427}"/>
            </a:ext>
          </a:extLst>
        </xdr:cNvPr>
        <xdr:cNvSpPr txBox="1"/>
      </xdr:nvSpPr>
      <xdr:spPr>
        <a:xfrm>
          <a:off x="7219948" y="4162425"/>
          <a:ext cx="233362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届出の種類、算出を行う月を選択</a:t>
          </a:r>
        </a:p>
      </xdr:txBody>
    </xdr:sp>
    <xdr:clientData/>
  </xdr:oneCellAnchor>
  <xdr:twoCellAnchor>
    <xdr:from>
      <xdr:col>24</xdr:col>
      <xdr:colOff>163605</xdr:colOff>
      <xdr:row>14</xdr:row>
      <xdr:rowOff>250379</xdr:rowOff>
    </xdr:from>
    <xdr:to>
      <xdr:col>26</xdr:col>
      <xdr:colOff>38098</xdr:colOff>
      <xdr:row>14</xdr:row>
      <xdr:rowOff>252974</xdr:rowOff>
    </xdr:to>
    <xdr:cxnSp macro="">
      <xdr:nvCxnSpPr>
        <xdr:cNvPr id="29" name="直線矢印コネクタ 28">
          <a:extLst>
            <a:ext uri="{FF2B5EF4-FFF2-40B4-BE49-F238E27FC236}">
              <a16:creationId xmlns:a16="http://schemas.microsoft.com/office/drawing/2014/main" id="{1915148A-B71D-4765-B309-0250DD451E30}"/>
            </a:ext>
          </a:extLst>
        </xdr:cNvPr>
        <xdr:cNvCxnSpPr>
          <a:stCxn id="28" idx="1"/>
        </xdr:cNvCxnSpPr>
      </xdr:nvCxnSpPr>
      <xdr:spPr>
        <a:xfrm flipH="1">
          <a:off x="6793005" y="4346129"/>
          <a:ext cx="426943" cy="259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219074</xdr:colOff>
      <xdr:row>9</xdr:row>
      <xdr:rowOff>225992</xdr:rowOff>
    </xdr:from>
    <xdr:to>
      <xdr:col>24</xdr:col>
      <xdr:colOff>19049</xdr:colOff>
      <xdr:row>9</xdr:row>
      <xdr:rowOff>238125</xdr:rowOff>
    </xdr:to>
    <xdr:cxnSp macro="">
      <xdr:nvCxnSpPr>
        <xdr:cNvPr id="30" name="直線矢印コネクタ 29">
          <a:extLst>
            <a:ext uri="{FF2B5EF4-FFF2-40B4-BE49-F238E27FC236}">
              <a16:creationId xmlns:a16="http://schemas.microsoft.com/office/drawing/2014/main" id="{F43414B6-36F4-4717-9782-889BDAF55AB5}"/>
            </a:ext>
          </a:extLst>
        </xdr:cNvPr>
        <xdr:cNvCxnSpPr>
          <a:stCxn id="27" idx="1"/>
        </xdr:cNvCxnSpPr>
      </xdr:nvCxnSpPr>
      <xdr:spPr>
        <a:xfrm flipH="1">
          <a:off x="5743574" y="2873942"/>
          <a:ext cx="904875" cy="1213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12</xdr:col>
      <xdr:colOff>0</xdr:colOff>
      <xdr:row>62</xdr:row>
      <xdr:rowOff>9525</xdr:rowOff>
    </xdr:from>
    <xdr:ext cx="5927911" cy="2200275"/>
    <xdr:sp macro="" textlink="">
      <xdr:nvSpPr>
        <xdr:cNvPr id="31" name="テキスト ボックス 30">
          <a:extLst>
            <a:ext uri="{FF2B5EF4-FFF2-40B4-BE49-F238E27FC236}">
              <a16:creationId xmlns:a16="http://schemas.microsoft.com/office/drawing/2014/main" id="{438721DB-C414-48A4-B2AE-D5F7576A04D6}"/>
            </a:ext>
          </a:extLst>
        </xdr:cNvPr>
        <xdr:cNvSpPr txBox="1"/>
      </xdr:nvSpPr>
      <xdr:spPr>
        <a:xfrm>
          <a:off x="3314700" y="18649950"/>
          <a:ext cx="5927911" cy="2200275"/>
        </a:xfrm>
        <a:prstGeom prst="rect">
          <a:avLst/>
        </a:prstGeom>
        <a:solidFill>
          <a:schemeClr val="accent1">
            <a:lumMod val="20000"/>
            <a:lumOff val="80000"/>
            <a:alpha val="69804"/>
          </a:schemeClr>
        </a:solidFill>
        <a:ln w="127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aseline="0">
              <a:latin typeface="メイリオ" panose="020B0604030504040204" pitchFamily="50" charset="-128"/>
              <a:ea typeface="メイリオ" panose="020B0604030504040204" pitchFamily="50" charset="-128"/>
            </a:rPr>
            <a:t> </a:t>
          </a:r>
          <a:r>
            <a:rPr kumimoji="1" lang="ja-JP" altLang="en-US" sz="2000">
              <a:latin typeface="メイリオ" panose="020B0604030504040204" pitchFamily="50" charset="-128"/>
              <a:ea typeface="メイリオ" panose="020B0604030504040204" pitchFamily="50" charset="-128"/>
            </a:rPr>
            <a:t>記載不要</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23</xdr:col>
      <xdr:colOff>255493</xdr:colOff>
      <xdr:row>9</xdr:row>
      <xdr:rowOff>161925</xdr:rowOff>
    </xdr:from>
    <xdr:ext cx="2333625" cy="367408"/>
    <xdr:sp macro="" textlink="">
      <xdr:nvSpPr>
        <xdr:cNvPr id="5" name="テキスト ボックス 4">
          <a:extLst>
            <a:ext uri="{FF2B5EF4-FFF2-40B4-BE49-F238E27FC236}">
              <a16:creationId xmlns:a16="http://schemas.microsoft.com/office/drawing/2014/main" id="{A389D633-2A71-4717-81BA-DDE5D2E66100}"/>
            </a:ext>
          </a:extLst>
        </xdr:cNvPr>
        <xdr:cNvSpPr txBox="1"/>
      </xdr:nvSpPr>
      <xdr:spPr>
        <a:xfrm>
          <a:off x="6608668" y="2619375"/>
          <a:ext cx="2333625"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届出の種類、算出を行う月を選択</a:t>
          </a:r>
        </a:p>
      </xdr:txBody>
    </xdr:sp>
    <xdr:clientData/>
  </xdr:oneCellAnchor>
  <xdr:twoCellAnchor>
    <xdr:from>
      <xdr:col>22</xdr:col>
      <xdr:colOff>104775</xdr:colOff>
      <xdr:row>10</xdr:row>
      <xdr:rowOff>31304</xdr:rowOff>
    </xdr:from>
    <xdr:to>
      <xdr:col>23</xdr:col>
      <xdr:colOff>255493</xdr:colOff>
      <xdr:row>10</xdr:row>
      <xdr:rowOff>33899</xdr:rowOff>
    </xdr:to>
    <xdr:cxnSp macro="">
      <xdr:nvCxnSpPr>
        <xdr:cNvPr id="7" name="直線矢印コネクタ 6">
          <a:extLst>
            <a:ext uri="{FF2B5EF4-FFF2-40B4-BE49-F238E27FC236}">
              <a16:creationId xmlns:a16="http://schemas.microsoft.com/office/drawing/2014/main" id="{B36C2106-0400-4DA0-ACB7-3109391A804E}"/>
            </a:ext>
          </a:extLst>
        </xdr:cNvPr>
        <xdr:cNvCxnSpPr>
          <a:stCxn id="5" idx="1"/>
        </xdr:cNvCxnSpPr>
      </xdr:nvCxnSpPr>
      <xdr:spPr>
        <a:xfrm flipH="1">
          <a:off x="6181725" y="2803079"/>
          <a:ext cx="426943" cy="259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85725</xdr:colOff>
      <xdr:row>22</xdr:row>
      <xdr:rowOff>28575</xdr:rowOff>
    </xdr:from>
    <xdr:ext cx="5029200" cy="1142877"/>
    <xdr:sp macro="" textlink="">
      <xdr:nvSpPr>
        <xdr:cNvPr id="8" name="テキスト ボックス 7">
          <a:extLst>
            <a:ext uri="{FF2B5EF4-FFF2-40B4-BE49-F238E27FC236}">
              <a16:creationId xmlns:a16="http://schemas.microsoft.com/office/drawing/2014/main" id="{CA90DAD7-2EF2-4927-9E0A-7E64448DDF9D}"/>
            </a:ext>
          </a:extLst>
        </xdr:cNvPr>
        <xdr:cNvSpPr txBox="1"/>
      </xdr:nvSpPr>
      <xdr:spPr>
        <a:xfrm>
          <a:off x="4229100" y="6572250"/>
          <a:ext cx="5029200" cy="1142877"/>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５に該当する場合にはチェック。５に該当しない場合は、評価料（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）を届け出ることはできません。</a:t>
          </a:r>
          <a:endParaRPr kumimoji="1" lang="en-US" altLang="ja-JP" sz="1050">
            <a:latin typeface="メイリオ" panose="020B0604030504040204" pitchFamily="50" charset="-128"/>
            <a:ea typeface="メイリオ" panose="020B0604030504040204" pitchFamily="50" charset="-128"/>
          </a:endParaRPr>
        </a:p>
        <a:p>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詳細は「特掲診療料の施設基準等及びその届出に関する取扱いについて」（令和６年３月５日付保医発</a:t>
          </a:r>
          <a:r>
            <a:rPr kumimoji="1" lang="en-US" altLang="ja-JP" sz="1050">
              <a:latin typeface="メイリオ" panose="020B0604030504040204" pitchFamily="50" charset="-128"/>
              <a:ea typeface="メイリオ" panose="020B0604030504040204" pitchFamily="50" charset="-128"/>
            </a:rPr>
            <a:t>0305</a:t>
          </a:r>
          <a:r>
            <a:rPr kumimoji="1" lang="ja-JP" altLang="en-US" sz="1050">
              <a:latin typeface="メイリオ" panose="020B0604030504040204" pitchFamily="50" charset="-128"/>
              <a:ea typeface="メイリオ" panose="020B0604030504040204" pitchFamily="50" charset="-128"/>
            </a:rPr>
            <a:t>第６号）第</a:t>
          </a:r>
          <a:r>
            <a:rPr kumimoji="1" lang="en-US" altLang="ja-JP" sz="1050">
              <a:latin typeface="メイリオ" panose="020B0604030504040204" pitchFamily="50" charset="-128"/>
              <a:ea typeface="メイリオ" panose="020B0604030504040204" pitchFamily="50" charset="-128"/>
            </a:rPr>
            <a:t>106 </a:t>
          </a:r>
          <a:r>
            <a:rPr kumimoji="1" lang="ja-JP" altLang="en-US" sz="1050">
              <a:latin typeface="メイリオ" panose="020B0604030504040204" pitchFamily="50" charset="-128"/>
              <a:ea typeface="メイリオ" panose="020B0604030504040204" pitchFamily="50" charset="-128"/>
            </a:rPr>
            <a:t>を参照してください</a:t>
          </a:r>
        </a:p>
      </xdr:txBody>
    </xdr:sp>
    <xdr:clientData/>
  </xdr:oneCellAnchor>
  <xdr:twoCellAnchor>
    <xdr:from>
      <xdr:col>24</xdr:col>
      <xdr:colOff>114300</xdr:colOff>
      <xdr:row>25</xdr:row>
      <xdr:rowOff>238125</xdr:rowOff>
    </xdr:from>
    <xdr:to>
      <xdr:col>30</xdr:col>
      <xdr:colOff>28575</xdr:colOff>
      <xdr:row>27</xdr:row>
      <xdr:rowOff>76200</xdr:rowOff>
    </xdr:to>
    <xdr:cxnSp macro="">
      <xdr:nvCxnSpPr>
        <xdr:cNvPr id="9" name="直線矢印コネクタ 8">
          <a:extLst>
            <a:ext uri="{FF2B5EF4-FFF2-40B4-BE49-F238E27FC236}">
              <a16:creationId xmlns:a16="http://schemas.microsoft.com/office/drawing/2014/main" id="{E96F00C0-ADF0-4FBC-A37A-59DEEB2450D8}"/>
            </a:ext>
          </a:extLst>
        </xdr:cNvPr>
        <xdr:cNvCxnSpPr/>
      </xdr:nvCxnSpPr>
      <xdr:spPr>
        <a:xfrm>
          <a:off x="6743700" y="7724775"/>
          <a:ext cx="1571625" cy="4667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18</xdr:col>
      <xdr:colOff>0</xdr:colOff>
      <xdr:row>34</xdr:row>
      <xdr:rowOff>228600</xdr:rowOff>
    </xdr:from>
    <xdr:ext cx="3904130" cy="367408"/>
    <xdr:sp macro="" textlink="">
      <xdr:nvSpPr>
        <xdr:cNvPr id="10" name="テキスト ボックス 9">
          <a:extLst>
            <a:ext uri="{FF2B5EF4-FFF2-40B4-BE49-F238E27FC236}">
              <a16:creationId xmlns:a16="http://schemas.microsoft.com/office/drawing/2014/main" id="{44646070-E777-4D2D-9D1D-9FB788C6FCEB}"/>
            </a:ext>
          </a:extLst>
        </xdr:cNvPr>
        <xdr:cNvSpPr txBox="1"/>
      </xdr:nvSpPr>
      <xdr:spPr>
        <a:xfrm>
          <a:off x="4972050" y="10544175"/>
          <a:ext cx="390413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u="none">
              <a:latin typeface="メイリオ" panose="020B0604030504040204" pitchFamily="50" charset="-128"/>
              <a:ea typeface="メイリオ" panose="020B0604030504040204" pitchFamily="50" charset="-128"/>
            </a:rPr>
            <a:t>※</a:t>
          </a:r>
          <a:r>
            <a:rPr kumimoji="1" lang="ja-JP" altLang="en-US" sz="1100" u="none">
              <a:latin typeface="メイリオ" panose="020B0604030504040204" pitchFamily="50" charset="-128"/>
              <a:ea typeface="メイリオ" panose="020B0604030504040204" pitchFamily="50" charset="-128"/>
            </a:rPr>
            <a:t>部分を良く読んだ上で、「対象職員の給与総額」を入力</a:t>
          </a:r>
          <a:endParaRPr kumimoji="1" lang="en-US" altLang="ja-JP" sz="1100" u="none">
            <a:latin typeface="メイリオ" panose="020B0604030504040204" pitchFamily="50" charset="-128"/>
            <a:ea typeface="メイリオ" panose="020B0604030504040204" pitchFamily="50" charset="-128"/>
          </a:endParaRPr>
        </a:p>
      </xdr:txBody>
    </xdr:sp>
    <xdr:clientData/>
  </xdr:oneCellAnchor>
  <xdr:twoCellAnchor>
    <xdr:from>
      <xdr:col>17</xdr:col>
      <xdr:colOff>47625</xdr:colOff>
      <xdr:row>35</xdr:row>
      <xdr:rowOff>97979</xdr:rowOff>
    </xdr:from>
    <xdr:to>
      <xdr:col>18</xdr:col>
      <xdr:colOff>0</xdr:colOff>
      <xdr:row>36</xdr:row>
      <xdr:rowOff>38100</xdr:rowOff>
    </xdr:to>
    <xdr:cxnSp macro="">
      <xdr:nvCxnSpPr>
        <xdr:cNvPr id="11" name="コネクタ: カギ線 10">
          <a:extLst>
            <a:ext uri="{FF2B5EF4-FFF2-40B4-BE49-F238E27FC236}">
              <a16:creationId xmlns:a16="http://schemas.microsoft.com/office/drawing/2014/main" id="{EC7AD9F3-E1DE-4E82-9449-5FC51436FFAB}"/>
            </a:ext>
          </a:extLst>
        </xdr:cNvPr>
        <xdr:cNvCxnSpPr>
          <a:stCxn id="10" idx="1"/>
        </xdr:cNvCxnSpPr>
      </xdr:nvCxnSpPr>
      <xdr:spPr>
        <a:xfrm rot="10800000" flipV="1">
          <a:off x="4743450" y="10727879"/>
          <a:ext cx="228600" cy="254446"/>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171449</xdr:colOff>
      <xdr:row>45</xdr:row>
      <xdr:rowOff>152400</xdr:rowOff>
    </xdr:from>
    <xdr:ext cx="4134970" cy="367408"/>
    <xdr:sp macro="" textlink="">
      <xdr:nvSpPr>
        <xdr:cNvPr id="12" name="テキスト ボックス 11">
          <a:extLst>
            <a:ext uri="{FF2B5EF4-FFF2-40B4-BE49-F238E27FC236}">
              <a16:creationId xmlns:a16="http://schemas.microsoft.com/office/drawing/2014/main" id="{FFAD9F35-2342-49BB-B039-56989A908520}"/>
            </a:ext>
          </a:extLst>
        </xdr:cNvPr>
        <xdr:cNvSpPr txBox="1"/>
      </xdr:nvSpPr>
      <xdr:spPr>
        <a:xfrm>
          <a:off x="4591049" y="13716000"/>
          <a:ext cx="413497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対象期間の１月当たりの平均回数（実績）①から⑧を入力</a:t>
          </a:r>
        </a:p>
      </xdr:txBody>
    </xdr:sp>
    <xdr:clientData/>
  </xdr:oneCellAnchor>
  <xdr:twoCellAnchor>
    <xdr:from>
      <xdr:col>15</xdr:col>
      <xdr:colOff>209550</xdr:colOff>
      <xdr:row>46</xdr:row>
      <xdr:rowOff>21778</xdr:rowOff>
    </xdr:from>
    <xdr:to>
      <xdr:col>16</xdr:col>
      <xdr:colOff>171450</xdr:colOff>
      <xdr:row>47</xdr:row>
      <xdr:rowOff>9524</xdr:rowOff>
    </xdr:to>
    <xdr:cxnSp macro="">
      <xdr:nvCxnSpPr>
        <xdr:cNvPr id="13" name="コネクタ: カギ線 12">
          <a:extLst>
            <a:ext uri="{FF2B5EF4-FFF2-40B4-BE49-F238E27FC236}">
              <a16:creationId xmlns:a16="http://schemas.microsoft.com/office/drawing/2014/main" id="{F92FA1B2-86F4-4C43-BC79-693753D2E3E5}"/>
            </a:ext>
          </a:extLst>
        </xdr:cNvPr>
        <xdr:cNvCxnSpPr>
          <a:stCxn id="12" idx="1"/>
        </xdr:cNvCxnSpPr>
      </xdr:nvCxnSpPr>
      <xdr:spPr>
        <a:xfrm rot="10800000" flipV="1">
          <a:off x="4352925" y="13899703"/>
          <a:ext cx="238125" cy="302071"/>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20</xdr:col>
      <xdr:colOff>66672</xdr:colOff>
      <xdr:row>65</xdr:row>
      <xdr:rowOff>57150</xdr:rowOff>
    </xdr:from>
    <xdr:ext cx="4295775" cy="1405513"/>
    <xdr:sp macro="" textlink="">
      <xdr:nvSpPr>
        <xdr:cNvPr id="14" name="テキスト ボックス 13">
          <a:extLst>
            <a:ext uri="{FF2B5EF4-FFF2-40B4-BE49-F238E27FC236}">
              <a16:creationId xmlns:a16="http://schemas.microsoft.com/office/drawing/2014/main" id="{6CD8F238-2442-4434-8256-DA4D542500FA}"/>
            </a:ext>
          </a:extLst>
        </xdr:cNvPr>
        <xdr:cNvSpPr txBox="1"/>
      </xdr:nvSpPr>
      <xdr:spPr>
        <a:xfrm>
          <a:off x="5591172" y="19907250"/>
          <a:ext cx="4295775" cy="1405513"/>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合計</a:t>
          </a:r>
          <a:r>
            <a:rPr kumimoji="1" lang="en-US" altLang="ja-JP" sz="1050" b="1">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は、ベースアップ評価料（</a:t>
          </a:r>
          <a:r>
            <a:rPr kumimoji="1" lang="en-US" altLang="ja-JP" sz="1050">
              <a:latin typeface="メイリオ" panose="020B0604030504040204" pitchFamily="50" charset="-128"/>
              <a:ea typeface="メイリオ" panose="020B0604030504040204" pitchFamily="50" charset="-128"/>
            </a:rPr>
            <a:t>Ⅰ</a:t>
          </a:r>
          <a:r>
            <a:rPr kumimoji="1" lang="ja-JP" altLang="en-US" sz="1050">
              <a:latin typeface="メイリオ" panose="020B0604030504040204" pitchFamily="50" charset="-128"/>
              <a:ea typeface="メイリオ" panose="020B0604030504040204" pitchFamily="50" charset="-128"/>
            </a:rPr>
            <a:t>）等の算定回数・点数の見込みが自動計算されます。</a:t>
          </a:r>
        </a:p>
        <a:p>
          <a:r>
            <a:rPr kumimoji="1" lang="ja-JP" altLang="en-US" sz="1050" b="1">
              <a:latin typeface="メイリオ" panose="020B0604030504040204" pitchFamily="50" charset="-128"/>
              <a:ea typeface="メイリオ" panose="020B0604030504040204" pitchFamily="50" charset="-128"/>
            </a:rPr>
            <a:t>「（３）外来・在宅ベースアップ評価料（</a:t>
          </a:r>
          <a:r>
            <a:rPr kumimoji="1" lang="en-US" altLang="ja-JP" sz="1050" b="1">
              <a:latin typeface="メイリオ" panose="020B0604030504040204" pitchFamily="50" charset="-128"/>
              <a:ea typeface="メイリオ" panose="020B0604030504040204" pitchFamily="50" charset="-128"/>
            </a:rPr>
            <a:t>Ⅰ</a:t>
          </a:r>
          <a:r>
            <a:rPr kumimoji="1" lang="ja-JP" altLang="en-US" sz="1050" b="1">
              <a:latin typeface="メイリオ" panose="020B0604030504040204" pitchFamily="50" charset="-128"/>
              <a:ea typeface="メイリオ" panose="020B0604030504040204" pitchFamily="50" charset="-128"/>
            </a:rPr>
            <a:t>）等により行われる給与の改善率」</a:t>
          </a:r>
          <a:r>
            <a:rPr kumimoji="1" lang="ja-JP" altLang="en-US" sz="1050">
              <a:latin typeface="メイリオ" panose="020B0604030504040204" pitchFamily="50" charset="-128"/>
              <a:ea typeface="メイリオ" panose="020B0604030504040204" pitchFamily="50" charset="-128"/>
            </a:rPr>
            <a:t>が</a:t>
          </a:r>
          <a:r>
            <a:rPr kumimoji="1" lang="en-US" altLang="ja-JP" sz="1050">
              <a:latin typeface="メイリオ" panose="020B0604030504040204" pitchFamily="50" charset="-128"/>
              <a:ea typeface="メイリオ" panose="020B0604030504040204" pitchFamily="50" charset="-128"/>
            </a:rPr>
            <a:t>2.3%</a:t>
          </a:r>
          <a:r>
            <a:rPr kumimoji="1" lang="ja-JP" altLang="en-US" sz="1050">
              <a:latin typeface="メイリオ" panose="020B0604030504040204" pitchFamily="50" charset="-128"/>
              <a:ea typeface="メイリオ" panose="020B0604030504040204" pitchFamily="50" charset="-128"/>
            </a:rPr>
            <a:t>以上の場合には入院ベースアップ評価料は算定できません。</a:t>
          </a:r>
        </a:p>
      </xdr:txBody>
    </xdr:sp>
    <xdr:clientData/>
  </xdr:oneCellAnchor>
  <xdr:twoCellAnchor>
    <xdr:from>
      <xdr:col>17</xdr:col>
      <xdr:colOff>161925</xdr:colOff>
      <xdr:row>67</xdr:row>
      <xdr:rowOff>131257</xdr:rowOff>
    </xdr:from>
    <xdr:to>
      <xdr:col>20</xdr:col>
      <xdr:colOff>66672</xdr:colOff>
      <xdr:row>68</xdr:row>
      <xdr:rowOff>19050</xdr:rowOff>
    </xdr:to>
    <xdr:cxnSp macro="">
      <xdr:nvCxnSpPr>
        <xdr:cNvPr id="15" name="コネクタ: カギ線 14">
          <a:extLst>
            <a:ext uri="{FF2B5EF4-FFF2-40B4-BE49-F238E27FC236}">
              <a16:creationId xmlns:a16="http://schemas.microsoft.com/office/drawing/2014/main" id="{8C0E7973-EB91-4939-AB24-8E3EEFC53F84}"/>
            </a:ext>
          </a:extLst>
        </xdr:cNvPr>
        <xdr:cNvCxnSpPr>
          <a:stCxn id="14" idx="1"/>
        </xdr:cNvCxnSpPr>
      </xdr:nvCxnSpPr>
      <xdr:spPr>
        <a:xfrm rot="10800000" flipV="1">
          <a:off x="4857750" y="20610007"/>
          <a:ext cx="733422" cy="202118"/>
        </a:xfrm>
        <a:prstGeom prst="bentConnector3">
          <a:avLst>
            <a:gd name="adj1" fmla="val 9935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16</xdr:col>
      <xdr:colOff>133349</xdr:colOff>
      <xdr:row>73</xdr:row>
      <xdr:rowOff>161925</xdr:rowOff>
    </xdr:from>
    <xdr:ext cx="4134970" cy="367408"/>
    <xdr:sp macro="" textlink="">
      <xdr:nvSpPr>
        <xdr:cNvPr id="16" name="テキスト ボックス 15">
          <a:extLst>
            <a:ext uri="{FF2B5EF4-FFF2-40B4-BE49-F238E27FC236}">
              <a16:creationId xmlns:a16="http://schemas.microsoft.com/office/drawing/2014/main" id="{05C8B188-9BEE-4BD1-88B5-1CA917DE85C1}"/>
            </a:ext>
          </a:extLst>
        </xdr:cNvPr>
        <xdr:cNvSpPr txBox="1"/>
      </xdr:nvSpPr>
      <xdr:spPr>
        <a:xfrm>
          <a:off x="4552949" y="22526625"/>
          <a:ext cx="413497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対象期間の１月当たりの平均回数（実績）を入力</a:t>
          </a:r>
        </a:p>
      </xdr:txBody>
    </xdr:sp>
    <xdr:clientData/>
  </xdr:oneCellAnchor>
  <xdr:twoCellAnchor>
    <xdr:from>
      <xdr:col>15</xdr:col>
      <xdr:colOff>171450</xdr:colOff>
      <xdr:row>74</xdr:row>
      <xdr:rowOff>31303</xdr:rowOff>
    </xdr:from>
    <xdr:to>
      <xdr:col>16</xdr:col>
      <xdr:colOff>133350</xdr:colOff>
      <xdr:row>75</xdr:row>
      <xdr:rowOff>19049</xdr:rowOff>
    </xdr:to>
    <xdr:cxnSp macro="">
      <xdr:nvCxnSpPr>
        <xdr:cNvPr id="17" name="コネクタ: カギ線 16">
          <a:extLst>
            <a:ext uri="{FF2B5EF4-FFF2-40B4-BE49-F238E27FC236}">
              <a16:creationId xmlns:a16="http://schemas.microsoft.com/office/drawing/2014/main" id="{A2C9356C-91CB-46C2-BB11-252CFFD1E52E}"/>
            </a:ext>
          </a:extLst>
        </xdr:cNvPr>
        <xdr:cNvCxnSpPr>
          <a:stCxn id="16" idx="1"/>
        </xdr:cNvCxnSpPr>
      </xdr:nvCxnSpPr>
      <xdr:spPr>
        <a:xfrm rot="10800000" flipV="1">
          <a:off x="4314825" y="22710328"/>
          <a:ext cx="238125" cy="302071"/>
        </a:xfrm>
        <a:prstGeom prst="bentConnector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14</xdr:col>
      <xdr:colOff>76201</xdr:colOff>
      <xdr:row>82</xdr:row>
      <xdr:rowOff>152400</xdr:rowOff>
    </xdr:from>
    <xdr:ext cx="4600574" cy="354969"/>
    <xdr:sp macro="" textlink="">
      <xdr:nvSpPr>
        <xdr:cNvPr id="18" name="テキスト ボックス 17">
          <a:extLst>
            <a:ext uri="{FF2B5EF4-FFF2-40B4-BE49-F238E27FC236}">
              <a16:creationId xmlns:a16="http://schemas.microsoft.com/office/drawing/2014/main" id="{CBAFC83A-0086-4791-9FA0-2366C4D7DF18}"/>
            </a:ext>
          </a:extLst>
        </xdr:cNvPr>
        <xdr:cNvSpPr txBox="1"/>
      </xdr:nvSpPr>
      <xdr:spPr>
        <a:xfrm>
          <a:off x="3943351" y="25222200"/>
          <a:ext cx="4600574"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1">
              <a:latin typeface="メイリオ" panose="020B0604030504040204" pitchFamily="50" charset="-128"/>
              <a:ea typeface="メイリオ" panose="020B0604030504040204" pitchFamily="50" charset="-128"/>
            </a:rPr>
            <a:t>「（５）</a:t>
          </a:r>
          <a:r>
            <a:rPr kumimoji="1" lang="en-US" altLang="ja-JP" sz="1050" b="1">
              <a:latin typeface="メイリオ" panose="020B0604030504040204" pitchFamily="50" charset="-128"/>
              <a:ea typeface="メイリオ" panose="020B0604030504040204" pitchFamily="50" charset="-128"/>
            </a:rPr>
            <a:t>【C】</a:t>
          </a:r>
          <a:r>
            <a:rPr kumimoji="1" lang="ja-JP" altLang="en-US" sz="1050" b="1">
              <a:latin typeface="メイリオ" panose="020B0604030504040204" pitchFamily="50" charset="-128"/>
              <a:ea typeface="メイリオ" panose="020B0604030504040204" pitchFamily="50" charset="-128"/>
            </a:rPr>
            <a:t>の値」</a:t>
          </a:r>
          <a:r>
            <a:rPr kumimoji="1" lang="ja-JP" altLang="en-US" sz="1050" b="0">
              <a:latin typeface="メイリオ" panose="020B0604030504040204" pitchFamily="50" charset="-128"/>
              <a:ea typeface="メイリオ" panose="020B0604030504040204" pitchFamily="50" charset="-128"/>
            </a:rPr>
            <a:t>は６「該当する区分」を判定するための数値</a:t>
          </a:r>
        </a:p>
      </xdr:txBody>
    </xdr:sp>
    <xdr:clientData/>
  </xdr:oneCellAnchor>
  <xdr:twoCellAnchor>
    <xdr:from>
      <xdr:col>12</xdr:col>
      <xdr:colOff>190500</xdr:colOff>
      <xdr:row>83</xdr:row>
      <xdr:rowOff>15560</xdr:rowOff>
    </xdr:from>
    <xdr:to>
      <xdr:col>14</xdr:col>
      <xdr:colOff>76201</xdr:colOff>
      <xdr:row>83</xdr:row>
      <xdr:rowOff>142875</xdr:rowOff>
    </xdr:to>
    <xdr:cxnSp macro="">
      <xdr:nvCxnSpPr>
        <xdr:cNvPr id="19" name="直線矢印コネクタ 18">
          <a:extLst>
            <a:ext uri="{FF2B5EF4-FFF2-40B4-BE49-F238E27FC236}">
              <a16:creationId xmlns:a16="http://schemas.microsoft.com/office/drawing/2014/main" id="{C1D816D3-FC9C-4F7B-A4D5-ACCFB8C8BB6E}"/>
            </a:ext>
          </a:extLst>
        </xdr:cNvPr>
        <xdr:cNvCxnSpPr>
          <a:stCxn id="18" idx="1"/>
        </xdr:cNvCxnSpPr>
      </xdr:nvCxnSpPr>
      <xdr:spPr>
        <a:xfrm flipH="1">
          <a:off x="3505200" y="25399685"/>
          <a:ext cx="438151" cy="12731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13</xdr:col>
      <xdr:colOff>266699</xdr:colOff>
      <xdr:row>88</xdr:row>
      <xdr:rowOff>0</xdr:rowOff>
    </xdr:from>
    <xdr:ext cx="5934074" cy="617605"/>
    <xdr:sp macro="" textlink="">
      <xdr:nvSpPr>
        <xdr:cNvPr id="20" name="テキスト ボックス 19">
          <a:extLst>
            <a:ext uri="{FF2B5EF4-FFF2-40B4-BE49-F238E27FC236}">
              <a16:creationId xmlns:a16="http://schemas.microsoft.com/office/drawing/2014/main" id="{ADC0D19C-47D8-4429-8672-3C7263EF9417}"/>
            </a:ext>
          </a:extLst>
        </xdr:cNvPr>
        <xdr:cNvSpPr txBox="1"/>
      </xdr:nvSpPr>
      <xdr:spPr>
        <a:xfrm>
          <a:off x="3857624" y="26955750"/>
          <a:ext cx="5934074" cy="617605"/>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0">
              <a:latin typeface="メイリオ" panose="020B0604030504040204" pitchFamily="50" charset="-128"/>
              <a:ea typeface="メイリオ" panose="020B0604030504040204" pitchFamily="50" charset="-128"/>
            </a:rPr>
            <a:t>届出後の３・６・９・</a:t>
          </a:r>
          <a:r>
            <a:rPr kumimoji="1" lang="en-US" altLang="ja-JP" sz="1050" b="0">
              <a:latin typeface="メイリオ" panose="020B0604030504040204" pitchFamily="50" charset="-128"/>
              <a:ea typeface="メイリオ" panose="020B0604030504040204" pitchFamily="50" charset="-128"/>
            </a:rPr>
            <a:t>12</a:t>
          </a:r>
          <a:r>
            <a:rPr kumimoji="1" lang="ja-JP" altLang="en-US" sz="1050" b="0">
              <a:latin typeface="メイリオ" panose="020B0604030504040204" pitchFamily="50" charset="-128"/>
              <a:ea typeface="メイリオ" panose="020B0604030504040204" pitchFamily="50" charset="-128"/>
            </a:rPr>
            <a:t>月に様式</a:t>
          </a:r>
          <a:r>
            <a:rPr kumimoji="1" lang="en-US" altLang="ja-JP" sz="1050" b="0">
              <a:latin typeface="メイリオ" panose="020B0604030504040204" pitchFamily="50" charset="-128"/>
              <a:ea typeface="メイリオ" panose="020B0604030504040204" pitchFamily="50" charset="-128"/>
            </a:rPr>
            <a:t>96</a:t>
          </a:r>
          <a:r>
            <a:rPr kumimoji="1" lang="ja-JP" altLang="en-US" sz="1050" b="0">
              <a:latin typeface="メイリオ" panose="020B0604030504040204" pitchFamily="50" charset="-128"/>
              <a:ea typeface="メイリオ" panose="020B0604030504040204" pitchFamily="50" charset="-128"/>
            </a:rPr>
            <a:t>を再度記入します。以下のチェックのいずれかが該当なしの場合は、区分変更が必要です。</a:t>
          </a:r>
        </a:p>
      </xdr:txBody>
    </xdr:sp>
    <xdr:clientData/>
  </xdr:oneCellAnchor>
  <xdr:twoCellAnchor>
    <xdr:from>
      <xdr:col>10</xdr:col>
      <xdr:colOff>76200</xdr:colOff>
      <xdr:row>88</xdr:row>
      <xdr:rowOff>308802</xdr:rowOff>
    </xdr:from>
    <xdr:to>
      <xdr:col>13</xdr:col>
      <xdr:colOff>266699</xdr:colOff>
      <xdr:row>90</xdr:row>
      <xdr:rowOff>104832</xdr:rowOff>
    </xdr:to>
    <xdr:cxnSp macro="">
      <xdr:nvCxnSpPr>
        <xdr:cNvPr id="21" name="コネクタ: カギ線 20">
          <a:extLst>
            <a:ext uri="{FF2B5EF4-FFF2-40B4-BE49-F238E27FC236}">
              <a16:creationId xmlns:a16="http://schemas.microsoft.com/office/drawing/2014/main" id="{DEFC94FA-2F4B-4E3F-B877-901CA02455C8}"/>
            </a:ext>
          </a:extLst>
        </xdr:cNvPr>
        <xdr:cNvCxnSpPr>
          <a:stCxn id="20" idx="1"/>
        </xdr:cNvCxnSpPr>
      </xdr:nvCxnSpPr>
      <xdr:spPr>
        <a:xfrm rot="10800000" flipV="1">
          <a:off x="2838450" y="27264552"/>
          <a:ext cx="1019174" cy="300855"/>
        </a:xfrm>
        <a:prstGeom prst="bentConnector3">
          <a:avLst>
            <a:gd name="adj1" fmla="val 99533"/>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25</xdr:col>
      <xdr:colOff>152401</xdr:colOff>
      <xdr:row>96</xdr:row>
      <xdr:rowOff>9525</xdr:rowOff>
    </xdr:from>
    <xdr:ext cx="2438399" cy="354969"/>
    <xdr:sp macro="" textlink="">
      <xdr:nvSpPr>
        <xdr:cNvPr id="22" name="テキスト ボックス 21">
          <a:extLst>
            <a:ext uri="{FF2B5EF4-FFF2-40B4-BE49-F238E27FC236}">
              <a16:creationId xmlns:a16="http://schemas.microsoft.com/office/drawing/2014/main" id="{5B754197-5916-4510-97FE-2F474A90B4C2}"/>
            </a:ext>
          </a:extLst>
        </xdr:cNvPr>
        <xdr:cNvSpPr txBox="1"/>
      </xdr:nvSpPr>
      <xdr:spPr>
        <a:xfrm>
          <a:off x="7058026" y="29384625"/>
          <a:ext cx="2438399"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b="0">
              <a:latin typeface="メイリオ" panose="020B0604030504040204" pitchFamily="50" charset="-128"/>
              <a:ea typeface="メイリオ" panose="020B0604030504040204" pitchFamily="50" charset="-128"/>
            </a:rPr>
            <a:t>届出すべき区分が表示されます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190500</xdr:colOff>
      <xdr:row>1</xdr:row>
      <xdr:rowOff>190500</xdr:rowOff>
    </xdr:from>
    <xdr:ext cx="2162175" cy="755079"/>
    <xdr:sp macro="" textlink="">
      <xdr:nvSpPr>
        <xdr:cNvPr id="7" name="テキスト ボックス 6">
          <a:extLst>
            <a:ext uri="{FF2B5EF4-FFF2-40B4-BE49-F238E27FC236}">
              <a16:creationId xmlns:a16="http://schemas.microsoft.com/office/drawing/2014/main" id="{7B686D17-1412-49FF-B731-6FA57CB8AB4F}"/>
            </a:ext>
          </a:extLst>
        </xdr:cNvPr>
        <xdr:cNvSpPr txBox="1"/>
      </xdr:nvSpPr>
      <xdr:spPr>
        <a:xfrm>
          <a:off x="466725" y="390525"/>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142875</xdr:colOff>
      <xdr:row>2</xdr:row>
      <xdr:rowOff>0</xdr:rowOff>
    </xdr:from>
    <xdr:to>
      <xdr:col>19</xdr:col>
      <xdr:colOff>219075</xdr:colOff>
      <xdr:row>3</xdr:row>
      <xdr:rowOff>187040</xdr:rowOff>
    </xdr:to>
    <xdr:cxnSp macro="">
      <xdr:nvCxnSpPr>
        <xdr:cNvPr id="9" name="直線矢印コネクタ 8">
          <a:extLst>
            <a:ext uri="{FF2B5EF4-FFF2-40B4-BE49-F238E27FC236}">
              <a16:creationId xmlns:a16="http://schemas.microsoft.com/office/drawing/2014/main" id="{84AA82C1-8EBC-4631-83DB-83F72106F75E}"/>
            </a:ext>
          </a:extLst>
        </xdr:cNvPr>
        <xdr:cNvCxnSpPr>
          <a:stCxn id="7" idx="3"/>
        </xdr:cNvCxnSpPr>
      </xdr:nvCxnSpPr>
      <xdr:spPr>
        <a:xfrm flipV="1">
          <a:off x="2628900" y="400050"/>
          <a:ext cx="2838450" cy="3680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21</xdr:col>
      <xdr:colOff>219075</xdr:colOff>
      <xdr:row>7</xdr:row>
      <xdr:rowOff>28575</xdr:rowOff>
    </xdr:from>
    <xdr:ext cx="2781300" cy="367408"/>
    <xdr:sp macro="" textlink="">
      <xdr:nvSpPr>
        <xdr:cNvPr id="10" name="テキスト ボックス 9">
          <a:extLst>
            <a:ext uri="{FF2B5EF4-FFF2-40B4-BE49-F238E27FC236}">
              <a16:creationId xmlns:a16="http://schemas.microsoft.com/office/drawing/2014/main" id="{A2AC8A3F-0444-418C-95DB-D6C7978E45F5}"/>
            </a:ext>
          </a:extLst>
        </xdr:cNvPr>
        <xdr:cNvSpPr txBox="1"/>
      </xdr:nvSpPr>
      <xdr:spPr>
        <a:xfrm>
          <a:off x="6019800" y="1409700"/>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28575</xdr:colOff>
      <xdr:row>8</xdr:row>
      <xdr:rowOff>12254</xdr:rowOff>
    </xdr:from>
    <xdr:to>
      <xdr:col>21</xdr:col>
      <xdr:colOff>219075</xdr:colOff>
      <xdr:row>8</xdr:row>
      <xdr:rowOff>180975</xdr:rowOff>
    </xdr:to>
    <xdr:cxnSp macro="">
      <xdr:nvCxnSpPr>
        <xdr:cNvPr id="11" name="直線矢印コネクタ 10">
          <a:extLst>
            <a:ext uri="{FF2B5EF4-FFF2-40B4-BE49-F238E27FC236}">
              <a16:creationId xmlns:a16="http://schemas.microsoft.com/office/drawing/2014/main" id="{EB241DF0-7D32-4108-9D96-D46287BBC508}"/>
            </a:ext>
          </a:extLst>
        </xdr:cNvPr>
        <xdr:cNvCxnSpPr>
          <a:stCxn id="10" idx="1"/>
        </xdr:cNvCxnSpPr>
      </xdr:nvCxnSpPr>
      <xdr:spPr>
        <a:xfrm flipH="1">
          <a:off x="5276850" y="1593404"/>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114300</xdr:colOff>
      <xdr:row>12</xdr:row>
      <xdr:rowOff>123825</xdr:rowOff>
    </xdr:from>
    <xdr:ext cx="4324350" cy="354969"/>
    <xdr:sp macro="" textlink="">
      <xdr:nvSpPr>
        <xdr:cNvPr id="12" name="テキスト ボックス 11">
          <a:extLst>
            <a:ext uri="{FF2B5EF4-FFF2-40B4-BE49-F238E27FC236}">
              <a16:creationId xmlns:a16="http://schemas.microsoft.com/office/drawing/2014/main" id="{9C2BB82C-31FF-4416-9174-297D73ACBC8C}"/>
            </a:ext>
          </a:extLst>
        </xdr:cNvPr>
        <xdr:cNvSpPr txBox="1"/>
      </xdr:nvSpPr>
      <xdr:spPr>
        <a:xfrm>
          <a:off x="4533900" y="2505075"/>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123825</xdr:colOff>
      <xdr:row>13</xdr:row>
      <xdr:rowOff>101285</xdr:rowOff>
    </xdr:from>
    <xdr:to>
      <xdr:col>16</xdr:col>
      <xdr:colOff>114300</xdr:colOff>
      <xdr:row>14</xdr:row>
      <xdr:rowOff>114300</xdr:rowOff>
    </xdr:to>
    <xdr:cxnSp macro="">
      <xdr:nvCxnSpPr>
        <xdr:cNvPr id="13" name="直線矢印コネクタ 12">
          <a:extLst>
            <a:ext uri="{FF2B5EF4-FFF2-40B4-BE49-F238E27FC236}">
              <a16:creationId xmlns:a16="http://schemas.microsoft.com/office/drawing/2014/main" id="{1D1FA491-2535-4A21-8765-FAAA7854B2F2}"/>
            </a:ext>
          </a:extLst>
        </xdr:cNvPr>
        <xdr:cNvCxnSpPr>
          <a:stCxn id="12" idx="1"/>
        </xdr:cNvCxnSpPr>
      </xdr:nvCxnSpPr>
      <xdr:spPr>
        <a:xfrm flipH="1">
          <a:off x="1781175" y="2682560"/>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12</xdr:col>
      <xdr:colOff>266700</xdr:colOff>
      <xdr:row>17</xdr:row>
      <xdr:rowOff>152400</xdr:rowOff>
    </xdr:from>
    <xdr:ext cx="5295900" cy="354969"/>
    <xdr:sp macro="" textlink="">
      <xdr:nvSpPr>
        <xdr:cNvPr id="14" name="テキスト ボックス 13">
          <a:extLst>
            <a:ext uri="{FF2B5EF4-FFF2-40B4-BE49-F238E27FC236}">
              <a16:creationId xmlns:a16="http://schemas.microsoft.com/office/drawing/2014/main" id="{3CD70D7F-4149-490F-BD6F-DAA5BC6F6DCA}"/>
            </a:ext>
          </a:extLst>
        </xdr:cNvPr>
        <xdr:cNvSpPr txBox="1"/>
      </xdr:nvSpPr>
      <xdr:spPr>
        <a:xfrm>
          <a:off x="3581400" y="3533775"/>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8</xdr:col>
      <xdr:colOff>219075</xdr:colOff>
      <xdr:row>18</xdr:row>
      <xdr:rowOff>129860</xdr:rowOff>
    </xdr:from>
    <xdr:to>
      <xdr:col>12</xdr:col>
      <xdr:colOff>266700</xdr:colOff>
      <xdr:row>19</xdr:row>
      <xdr:rowOff>95250</xdr:rowOff>
    </xdr:to>
    <xdr:cxnSp macro="">
      <xdr:nvCxnSpPr>
        <xdr:cNvPr id="15" name="直線矢印コネクタ 14">
          <a:extLst>
            <a:ext uri="{FF2B5EF4-FFF2-40B4-BE49-F238E27FC236}">
              <a16:creationId xmlns:a16="http://schemas.microsoft.com/office/drawing/2014/main" id="{B3720A7E-CDF3-4845-BB88-676E4E326C3C}"/>
            </a:ext>
          </a:extLst>
        </xdr:cNvPr>
        <xdr:cNvCxnSpPr>
          <a:stCxn id="14" idx="1"/>
        </xdr:cNvCxnSpPr>
      </xdr:nvCxnSpPr>
      <xdr:spPr>
        <a:xfrm flipH="1">
          <a:off x="2428875" y="3711260"/>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17</xdr:col>
      <xdr:colOff>266700</xdr:colOff>
      <xdr:row>24</xdr:row>
      <xdr:rowOff>47625</xdr:rowOff>
    </xdr:from>
    <xdr:ext cx="3905250" cy="354969"/>
    <xdr:sp macro="" textlink="">
      <xdr:nvSpPr>
        <xdr:cNvPr id="16" name="テキスト ボックス 15">
          <a:extLst>
            <a:ext uri="{FF2B5EF4-FFF2-40B4-BE49-F238E27FC236}">
              <a16:creationId xmlns:a16="http://schemas.microsoft.com/office/drawing/2014/main" id="{3B48F051-5315-44A2-A211-A3BEB8430F42}"/>
            </a:ext>
          </a:extLst>
        </xdr:cNvPr>
        <xdr:cNvSpPr txBox="1"/>
      </xdr:nvSpPr>
      <xdr:spPr>
        <a:xfrm>
          <a:off x="4962525" y="482917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97</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23</xdr:col>
      <xdr:colOff>247650</xdr:colOff>
      <xdr:row>26</xdr:row>
      <xdr:rowOff>0</xdr:rowOff>
    </xdr:from>
    <xdr:to>
      <xdr:col>26</xdr:col>
      <xdr:colOff>66675</xdr:colOff>
      <xdr:row>29</xdr:row>
      <xdr:rowOff>104775</xdr:rowOff>
    </xdr:to>
    <xdr:cxnSp macro="">
      <xdr:nvCxnSpPr>
        <xdr:cNvPr id="17" name="コネクタ: カギ線 16">
          <a:extLst>
            <a:ext uri="{FF2B5EF4-FFF2-40B4-BE49-F238E27FC236}">
              <a16:creationId xmlns:a16="http://schemas.microsoft.com/office/drawing/2014/main" id="{1B32BFC6-EA05-49E2-893C-38D071160723}"/>
            </a:ext>
          </a:extLst>
        </xdr:cNvPr>
        <xdr:cNvCxnSpPr>
          <a:endCxn id="18" idx="1"/>
        </xdr:cNvCxnSpPr>
      </xdr:nvCxnSpPr>
      <xdr:spPr>
        <a:xfrm rot="16200000" flipH="1">
          <a:off x="6572250" y="5210175"/>
          <a:ext cx="704850" cy="647700"/>
        </a:xfrm>
        <a:prstGeom prst="bentConnector2">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66675</xdr:colOff>
      <xdr:row>27</xdr:row>
      <xdr:rowOff>28575</xdr:rowOff>
    </xdr:from>
    <xdr:to>
      <xdr:col>26</xdr:col>
      <xdr:colOff>152400</xdr:colOff>
      <xdr:row>31</xdr:row>
      <xdr:rowOff>180975</xdr:rowOff>
    </xdr:to>
    <xdr:sp macro="" textlink="">
      <xdr:nvSpPr>
        <xdr:cNvPr id="18" name="左大かっこ 17">
          <a:extLst>
            <a:ext uri="{FF2B5EF4-FFF2-40B4-BE49-F238E27FC236}">
              <a16:creationId xmlns:a16="http://schemas.microsoft.com/office/drawing/2014/main" id="{73F1F26A-48CF-4F80-8679-34480DF06505}"/>
            </a:ext>
          </a:extLst>
        </xdr:cNvPr>
        <xdr:cNvSpPr/>
      </xdr:nvSpPr>
      <xdr:spPr>
        <a:xfrm>
          <a:off x="7248525" y="5410200"/>
          <a:ext cx="85725" cy="952500"/>
        </a:xfrm>
        <a:prstGeom prst="leftBracket">
          <a:avLst/>
        </a:prstGeom>
        <a:ln>
          <a:solidFill>
            <a:schemeClr val="accent6"/>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200027</xdr:colOff>
      <xdr:row>32</xdr:row>
      <xdr:rowOff>28575</xdr:rowOff>
    </xdr:from>
    <xdr:ext cx="1971674" cy="354969"/>
    <xdr:sp macro="" textlink="">
      <xdr:nvSpPr>
        <xdr:cNvPr id="19" name="テキスト ボックス 18">
          <a:extLst>
            <a:ext uri="{FF2B5EF4-FFF2-40B4-BE49-F238E27FC236}">
              <a16:creationId xmlns:a16="http://schemas.microsoft.com/office/drawing/2014/main" id="{8ECC6DB0-4927-41D2-B559-3128FEECA58C}"/>
            </a:ext>
          </a:extLst>
        </xdr:cNvPr>
        <xdr:cNvSpPr txBox="1"/>
      </xdr:nvSpPr>
      <xdr:spPr>
        <a:xfrm>
          <a:off x="5172077" y="641032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twoCellAnchor>
    <xdr:from>
      <xdr:col>26</xdr:col>
      <xdr:colOff>76201</xdr:colOff>
      <xdr:row>32</xdr:row>
      <xdr:rowOff>19050</xdr:rowOff>
    </xdr:from>
    <xdr:to>
      <xdr:col>26</xdr:col>
      <xdr:colOff>171451</xdr:colOff>
      <xdr:row>33</xdr:row>
      <xdr:rowOff>179025</xdr:rowOff>
    </xdr:to>
    <xdr:sp macro="" textlink="">
      <xdr:nvSpPr>
        <xdr:cNvPr id="20" name="左大かっこ 19">
          <a:extLst>
            <a:ext uri="{FF2B5EF4-FFF2-40B4-BE49-F238E27FC236}">
              <a16:creationId xmlns:a16="http://schemas.microsoft.com/office/drawing/2014/main" id="{EAD4D880-0C7D-4A98-B83C-352D86D05462}"/>
            </a:ext>
          </a:extLst>
        </xdr:cNvPr>
        <xdr:cNvSpPr/>
      </xdr:nvSpPr>
      <xdr:spPr>
        <a:xfrm>
          <a:off x="7258051" y="6400800"/>
          <a:ext cx="95250" cy="360000"/>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219075</xdr:colOff>
      <xdr:row>39</xdr:row>
      <xdr:rowOff>104775</xdr:rowOff>
    </xdr:from>
    <xdr:ext cx="2771775" cy="354969"/>
    <xdr:sp macro="" textlink="">
      <xdr:nvSpPr>
        <xdr:cNvPr id="23" name="テキスト ボックス 22">
          <a:extLst>
            <a:ext uri="{FF2B5EF4-FFF2-40B4-BE49-F238E27FC236}">
              <a16:creationId xmlns:a16="http://schemas.microsoft.com/office/drawing/2014/main" id="{DC5FAD24-81CB-41E3-8144-A42AA36D9EAC}"/>
            </a:ext>
          </a:extLst>
        </xdr:cNvPr>
        <xdr:cNvSpPr txBox="1"/>
      </xdr:nvSpPr>
      <xdr:spPr>
        <a:xfrm>
          <a:off x="4362450" y="788670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0</xdr:col>
      <xdr:colOff>19050</xdr:colOff>
      <xdr:row>152</xdr:row>
      <xdr:rowOff>514350</xdr:rowOff>
    </xdr:from>
    <xdr:ext cx="2524125" cy="354969"/>
    <xdr:sp macro="" textlink="">
      <xdr:nvSpPr>
        <xdr:cNvPr id="26" name="テキスト ボックス 25">
          <a:extLst>
            <a:ext uri="{FF2B5EF4-FFF2-40B4-BE49-F238E27FC236}">
              <a16:creationId xmlns:a16="http://schemas.microsoft.com/office/drawing/2014/main" id="{607EB5EF-9C34-4D50-A280-BC511E1098DB}"/>
            </a:ext>
          </a:extLst>
        </xdr:cNvPr>
        <xdr:cNvSpPr txBox="1"/>
      </xdr:nvSpPr>
      <xdr:spPr>
        <a:xfrm>
          <a:off x="19050" y="2835592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114300</xdr:colOff>
      <xdr:row>148</xdr:row>
      <xdr:rowOff>28575</xdr:rowOff>
    </xdr:from>
    <xdr:ext cx="2419351" cy="617605"/>
    <xdr:sp macro="" textlink="">
      <xdr:nvSpPr>
        <xdr:cNvPr id="27" name="テキスト ボックス 26">
          <a:extLst>
            <a:ext uri="{FF2B5EF4-FFF2-40B4-BE49-F238E27FC236}">
              <a16:creationId xmlns:a16="http://schemas.microsoft.com/office/drawing/2014/main" id="{70018498-1465-44AB-AAD4-466A2862BA5C}"/>
            </a:ext>
          </a:extLst>
        </xdr:cNvPr>
        <xdr:cNvSpPr txBox="1"/>
      </xdr:nvSpPr>
      <xdr:spPr>
        <a:xfrm>
          <a:off x="6467475" y="27193875"/>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114301</xdr:colOff>
      <xdr:row>148</xdr:row>
      <xdr:rowOff>161925</xdr:rowOff>
    </xdr:from>
    <xdr:to>
      <xdr:col>23</xdr:col>
      <xdr:colOff>114300</xdr:colOff>
      <xdr:row>149</xdr:row>
      <xdr:rowOff>137353</xdr:rowOff>
    </xdr:to>
    <xdr:cxnSp macro="">
      <xdr:nvCxnSpPr>
        <xdr:cNvPr id="28" name="直線矢印コネクタ 27">
          <a:extLst>
            <a:ext uri="{FF2B5EF4-FFF2-40B4-BE49-F238E27FC236}">
              <a16:creationId xmlns:a16="http://schemas.microsoft.com/office/drawing/2014/main" id="{0A8BBDCB-55D2-4A03-A512-37415212E1F5}"/>
            </a:ext>
          </a:extLst>
        </xdr:cNvPr>
        <xdr:cNvCxnSpPr>
          <a:stCxn id="27" idx="1"/>
        </xdr:cNvCxnSpPr>
      </xdr:nvCxnSpPr>
      <xdr:spPr>
        <a:xfrm flipH="1" flipV="1">
          <a:off x="5362576" y="27327225"/>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171451</xdr:colOff>
      <xdr:row>149</xdr:row>
      <xdr:rowOff>137353</xdr:rowOff>
    </xdr:from>
    <xdr:to>
      <xdr:col>23</xdr:col>
      <xdr:colOff>114300</xdr:colOff>
      <xdr:row>151</xdr:row>
      <xdr:rowOff>190500</xdr:rowOff>
    </xdr:to>
    <xdr:cxnSp macro="">
      <xdr:nvCxnSpPr>
        <xdr:cNvPr id="29" name="直線矢印コネクタ 28">
          <a:extLst>
            <a:ext uri="{FF2B5EF4-FFF2-40B4-BE49-F238E27FC236}">
              <a16:creationId xmlns:a16="http://schemas.microsoft.com/office/drawing/2014/main" id="{8B3683A4-8A0B-448A-A37F-CEE9817128BB}"/>
            </a:ext>
          </a:extLst>
        </xdr:cNvPr>
        <xdr:cNvCxnSpPr>
          <a:stCxn id="27" idx="1"/>
        </xdr:cNvCxnSpPr>
      </xdr:nvCxnSpPr>
      <xdr:spPr>
        <a:xfrm flipH="1">
          <a:off x="5419726" y="27502678"/>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47625</xdr:colOff>
      <xdr:row>43</xdr:row>
      <xdr:rowOff>190501</xdr:rowOff>
    </xdr:from>
    <xdr:ext cx="9086850" cy="1238250"/>
    <xdr:sp macro="" textlink="">
      <xdr:nvSpPr>
        <xdr:cNvPr id="30" name="テキスト ボックス 29">
          <a:extLst>
            <a:ext uri="{FF2B5EF4-FFF2-40B4-BE49-F238E27FC236}">
              <a16:creationId xmlns:a16="http://schemas.microsoft.com/office/drawing/2014/main" id="{F9EE9565-72CB-4D9C-8F22-2630CC4ECD5F}"/>
            </a:ext>
          </a:extLst>
        </xdr:cNvPr>
        <xdr:cNvSpPr txBox="1"/>
      </xdr:nvSpPr>
      <xdr:spPr>
        <a:xfrm>
          <a:off x="47625" y="8572501"/>
          <a:ext cx="9086850" cy="12382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22</xdr:col>
      <xdr:colOff>219077</xdr:colOff>
      <xdr:row>49</xdr:row>
      <xdr:rowOff>9525</xdr:rowOff>
    </xdr:from>
    <xdr:ext cx="2247898" cy="354969"/>
    <xdr:sp macro="" textlink="">
      <xdr:nvSpPr>
        <xdr:cNvPr id="31" name="テキスト ボックス 30">
          <a:extLst>
            <a:ext uri="{FF2B5EF4-FFF2-40B4-BE49-F238E27FC236}">
              <a16:creationId xmlns:a16="http://schemas.microsoft.com/office/drawing/2014/main" id="{8B8B657B-D0C3-4B5B-9EB8-B15AC7A24DEF}"/>
            </a:ext>
          </a:extLst>
        </xdr:cNvPr>
        <xdr:cNvSpPr txBox="1"/>
      </xdr:nvSpPr>
      <xdr:spPr>
        <a:xfrm>
          <a:off x="6296027" y="9591675"/>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38100</xdr:colOff>
      <xdr:row>56</xdr:row>
      <xdr:rowOff>190501</xdr:rowOff>
    </xdr:from>
    <xdr:ext cx="9086850" cy="1819274"/>
    <xdr:sp macro="" textlink="">
      <xdr:nvSpPr>
        <xdr:cNvPr id="32" name="テキスト ボックス 31">
          <a:extLst>
            <a:ext uri="{FF2B5EF4-FFF2-40B4-BE49-F238E27FC236}">
              <a16:creationId xmlns:a16="http://schemas.microsoft.com/office/drawing/2014/main" id="{C9B83F2F-189E-04B7-DB0A-DF71C1F0193C}"/>
            </a:ext>
          </a:extLst>
        </xdr:cNvPr>
        <xdr:cNvSpPr txBox="1"/>
      </xdr:nvSpPr>
      <xdr:spPr>
        <a:xfrm>
          <a:off x="38100" y="10172701"/>
          <a:ext cx="9086850" cy="181927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22</xdr:col>
      <xdr:colOff>180977</xdr:colOff>
      <xdr:row>65</xdr:row>
      <xdr:rowOff>19050</xdr:rowOff>
    </xdr:from>
    <xdr:ext cx="2247898" cy="354969"/>
    <xdr:sp macro="" textlink="">
      <xdr:nvSpPr>
        <xdr:cNvPr id="33" name="テキスト ボックス 32">
          <a:extLst>
            <a:ext uri="{FF2B5EF4-FFF2-40B4-BE49-F238E27FC236}">
              <a16:creationId xmlns:a16="http://schemas.microsoft.com/office/drawing/2014/main" id="{374574D1-BB12-B8EF-9FB0-D2C899B3EB66}"/>
            </a:ext>
          </a:extLst>
        </xdr:cNvPr>
        <xdr:cNvSpPr txBox="1"/>
      </xdr:nvSpPr>
      <xdr:spPr>
        <a:xfrm>
          <a:off x="6257927" y="11801475"/>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15</xdr:col>
      <xdr:colOff>238125</xdr:colOff>
      <xdr:row>137</xdr:row>
      <xdr:rowOff>28575</xdr:rowOff>
    </xdr:from>
    <xdr:ext cx="2524125" cy="354969"/>
    <xdr:sp macro="" textlink="">
      <xdr:nvSpPr>
        <xdr:cNvPr id="10" name="テキスト ボックス 9">
          <a:extLst>
            <a:ext uri="{FF2B5EF4-FFF2-40B4-BE49-F238E27FC236}">
              <a16:creationId xmlns:a16="http://schemas.microsoft.com/office/drawing/2014/main" id="{3DDF0AE4-D18E-4ECB-9B1B-4BF0B3DF368C}"/>
            </a:ext>
          </a:extLst>
        </xdr:cNvPr>
        <xdr:cNvSpPr txBox="1"/>
      </xdr:nvSpPr>
      <xdr:spPr>
        <a:xfrm>
          <a:off x="4381500" y="166116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0</xdr:colOff>
      <xdr:row>138</xdr:row>
      <xdr:rowOff>0</xdr:rowOff>
    </xdr:from>
    <xdr:to>
      <xdr:col>28</xdr:col>
      <xdr:colOff>238126</xdr:colOff>
      <xdr:row>139</xdr:row>
      <xdr:rowOff>95250</xdr:rowOff>
    </xdr:to>
    <xdr:cxnSp macro="">
      <xdr:nvCxnSpPr>
        <xdr:cNvPr id="11" name="直線矢印コネクタ 10">
          <a:extLst>
            <a:ext uri="{FF2B5EF4-FFF2-40B4-BE49-F238E27FC236}">
              <a16:creationId xmlns:a16="http://schemas.microsoft.com/office/drawing/2014/main" id="{EE327A61-A59A-4EB1-8C94-2733FAB75AF1}"/>
            </a:ext>
          </a:extLst>
        </xdr:cNvPr>
        <xdr:cNvCxnSpPr>
          <a:stCxn id="10" idx="3"/>
        </xdr:cNvCxnSpPr>
      </xdr:nvCxnSpPr>
      <xdr:spPr>
        <a:xfrm>
          <a:off x="6905625" y="1678305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95250</xdr:colOff>
      <xdr:row>148</xdr:row>
      <xdr:rowOff>552450</xdr:rowOff>
    </xdr:from>
    <xdr:ext cx="2524125" cy="354969"/>
    <xdr:sp macro="" textlink="">
      <xdr:nvSpPr>
        <xdr:cNvPr id="12" name="テキスト ボックス 11">
          <a:extLst>
            <a:ext uri="{FF2B5EF4-FFF2-40B4-BE49-F238E27FC236}">
              <a16:creationId xmlns:a16="http://schemas.microsoft.com/office/drawing/2014/main" id="{CDC3D384-8397-4C10-BEF9-8318A8FC5DCD}"/>
            </a:ext>
          </a:extLst>
        </xdr:cNvPr>
        <xdr:cNvSpPr txBox="1"/>
      </xdr:nvSpPr>
      <xdr:spPr>
        <a:xfrm>
          <a:off x="95250" y="189357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219075</xdr:colOff>
      <xdr:row>143</xdr:row>
      <xdr:rowOff>142875</xdr:rowOff>
    </xdr:from>
    <xdr:ext cx="2419351" cy="617605"/>
    <xdr:sp macro="" textlink="">
      <xdr:nvSpPr>
        <xdr:cNvPr id="13" name="テキスト ボックス 12">
          <a:extLst>
            <a:ext uri="{FF2B5EF4-FFF2-40B4-BE49-F238E27FC236}">
              <a16:creationId xmlns:a16="http://schemas.microsoft.com/office/drawing/2014/main" id="{BFFD2C5C-64BD-45EA-AEFC-0E4C13F2A4F1}"/>
            </a:ext>
          </a:extLst>
        </xdr:cNvPr>
        <xdr:cNvSpPr txBox="1"/>
      </xdr:nvSpPr>
      <xdr:spPr>
        <a:xfrm>
          <a:off x="6572250" y="17697450"/>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219076</xdr:colOff>
      <xdr:row>144</xdr:row>
      <xdr:rowOff>76200</xdr:rowOff>
    </xdr:from>
    <xdr:to>
      <xdr:col>23</xdr:col>
      <xdr:colOff>219075</xdr:colOff>
      <xdr:row>145</xdr:row>
      <xdr:rowOff>51628</xdr:rowOff>
    </xdr:to>
    <xdr:cxnSp macro="">
      <xdr:nvCxnSpPr>
        <xdr:cNvPr id="14" name="直線矢印コネクタ 13">
          <a:extLst>
            <a:ext uri="{FF2B5EF4-FFF2-40B4-BE49-F238E27FC236}">
              <a16:creationId xmlns:a16="http://schemas.microsoft.com/office/drawing/2014/main" id="{E4367550-6BA0-410D-A010-7BE387289827}"/>
            </a:ext>
          </a:extLst>
        </xdr:cNvPr>
        <xdr:cNvCxnSpPr>
          <a:stCxn id="13" idx="1"/>
        </xdr:cNvCxnSpPr>
      </xdr:nvCxnSpPr>
      <xdr:spPr>
        <a:xfrm flipH="1" flipV="1">
          <a:off x="5467351" y="17830800"/>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xdr:colOff>
      <xdr:row>145</xdr:row>
      <xdr:rowOff>51628</xdr:rowOff>
    </xdr:from>
    <xdr:to>
      <xdr:col>23</xdr:col>
      <xdr:colOff>219075</xdr:colOff>
      <xdr:row>147</xdr:row>
      <xdr:rowOff>104775</xdr:rowOff>
    </xdr:to>
    <xdr:cxnSp macro="">
      <xdr:nvCxnSpPr>
        <xdr:cNvPr id="15" name="直線矢印コネクタ 14">
          <a:extLst>
            <a:ext uri="{FF2B5EF4-FFF2-40B4-BE49-F238E27FC236}">
              <a16:creationId xmlns:a16="http://schemas.microsoft.com/office/drawing/2014/main" id="{AC3F4874-69DC-4D23-A1D9-336B4ADE9864}"/>
            </a:ext>
          </a:extLst>
        </xdr:cNvPr>
        <xdr:cNvCxnSpPr>
          <a:stCxn id="13" idx="1"/>
        </xdr:cNvCxnSpPr>
      </xdr:nvCxnSpPr>
      <xdr:spPr>
        <a:xfrm flipH="1">
          <a:off x="5524501" y="18006253"/>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123825</xdr:colOff>
      <xdr:row>125</xdr:row>
      <xdr:rowOff>38100</xdr:rowOff>
    </xdr:from>
    <xdr:ext cx="2524125" cy="354969"/>
    <xdr:sp macro="" textlink="">
      <xdr:nvSpPr>
        <xdr:cNvPr id="16" name="テキスト ボックス 15">
          <a:extLst>
            <a:ext uri="{FF2B5EF4-FFF2-40B4-BE49-F238E27FC236}">
              <a16:creationId xmlns:a16="http://schemas.microsoft.com/office/drawing/2014/main" id="{45B648D7-5329-4991-AAC3-57206529725D}"/>
            </a:ext>
          </a:extLst>
        </xdr:cNvPr>
        <xdr:cNvSpPr txBox="1"/>
      </xdr:nvSpPr>
      <xdr:spPr>
        <a:xfrm>
          <a:off x="4267200" y="1502092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24</xdr:col>
      <xdr:colOff>161925</xdr:colOff>
      <xdr:row>127</xdr:row>
      <xdr:rowOff>9525</xdr:rowOff>
    </xdr:from>
    <xdr:to>
      <xdr:col>28</xdr:col>
      <xdr:colOff>123826</xdr:colOff>
      <xdr:row>127</xdr:row>
      <xdr:rowOff>104775</xdr:rowOff>
    </xdr:to>
    <xdr:cxnSp macro="">
      <xdr:nvCxnSpPr>
        <xdr:cNvPr id="17" name="直線矢印コネクタ 16">
          <a:extLst>
            <a:ext uri="{FF2B5EF4-FFF2-40B4-BE49-F238E27FC236}">
              <a16:creationId xmlns:a16="http://schemas.microsoft.com/office/drawing/2014/main" id="{728698EA-2F35-4F26-8695-4DE8DB354250}"/>
            </a:ext>
          </a:extLst>
        </xdr:cNvPr>
        <xdr:cNvCxnSpPr>
          <a:stCxn id="16" idx="3"/>
        </xdr:cNvCxnSpPr>
      </xdr:nvCxnSpPr>
      <xdr:spPr>
        <a:xfrm>
          <a:off x="6791325" y="15192375"/>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47625</xdr:colOff>
      <xdr:row>76</xdr:row>
      <xdr:rowOff>19050</xdr:rowOff>
    </xdr:from>
    <xdr:ext cx="2524125" cy="354969"/>
    <xdr:sp macro="" textlink="">
      <xdr:nvSpPr>
        <xdr:cNvPr id="18" name="テキスト ボックス 17">
          <a:extLst>
            <a:ext uri="{FF2B5EF4-FFF2-40B4-BE49-F238E27FC236}">
              <a16:creationId xmlns:a16="http://schemas.microsoft.com/office/drawing/2014/main" id="{1C12FB71-D664-DFA1-79DB-352D91248966}"/>
            </a:ext>
          </a:extLst>
        </xdr:cNvPr>
        <xdr:cNvSpPr txBox="1"/>
      </xdr:nvSpPr>
      <xdr:spPr>
        <a:xfrm>
          <a:off x="4467225" y="1320165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85725</xdr:colOff>
      <xdr:row>76</xdr:row>
      <xdr:rowOff>190500</xdr:rowOff>
    </xdr:from>
    <xdr:to>
      <xdr:col>29</xdr:col>
      <xdr:colOff>47626</xdr:colOff>
      <xdr:row>78</xdr:row>
      <xdr:rowOff>85725</xdr:rowOff>
    </xdr:to>
    <xdr:cxnSp macro="">
      <xdr:nvCxnSpPr>
        <xdr:cNvPr id="19" name="直線矢印コネクタ 18">
          <a:extLst>
            <a:ext uri="{FF2B5EF4-FFF2-40B4-BE49-F238E27FC236}">
              <a16:creationId xmlns:a16="http://schemas.microsoft.com/office/drawing/2014/main" id="{6A489501-D65D-9D3A-1A71-39990CE8AEA4}"/>
            </a:ext>
          </a:extLst>
        </xdr:cNvPr>
        <xdr:cNvCxnSpPr>
          <a:stCxn id="18" idx="3"/>
        </xdr:cNvCxnSpPr>
      </xdr:nvCxnSpPr>
      <xdr:spPr>
        <a:xfrm>
          <a:off x="6991350" y="1337310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38100</xdr:colOff>
      <xdr:row>64</xdr:row>
      <xdr:rowOff>0</xdr:rowOff>
    </xdr:from>
    <xdr:ext cx="8924925" cy="1009650"/>
    <xdr:sp macro="" textlink="">
      <xdr:nvSpPr>
        <xdr:cNvPr id="23" name="テキスト ボックス 22">
          <a:extLst>
            <a:ext uri="{FF2B5EF4-FFF2-40B4-BE49-F238E27FC236}">
              <a16:creationId xmlns:a16="http://schemas.microsoft.com/office/drawing/2014/main" id="{52269A20-88D1-4190-9726-30B48D70FDAD}"/>
            </a:ext>
          </a:extLst>
        </xdr:cNvPr>
        <xdr:cNvSpPr txBox="1"/>
      </xdr:nvSpPr>
      <xdr:spPr>
        <a:xfrm>
          <a:off x="38100" y="11182350"/>
          <a:ext cx="8924925" cy="1009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21</xdr:col>
      <xdr:colOff>38100</xdr:colOff>
      <xdr:row>70</xdr:row>
      <xdr:rowOff>38100</xdr:rowOff>
    </xdr:from>
    <xdr:ext cx="2247898" cy="354969"/>
    <xdr:sp macro="" textlink="">
      <xdr:nvSpPr>
        <xdr:cNvPr id="22" name="テキスト ボックス 21">
          <a:extLst>
            <a:ext uri="{FF2B5EF4-FFF2-40B4-BE49-F238E27FC236}">
              <a16:creationId xmlns:a16="http://schemas.microsoft.com/office/drawing/2014/main" id="{A63DB41F-3E18-4972-8E62-0D191D9BE4DA}"/>
            </a:ext>
          </a:extLst>
        </xdr:cNvPr>
        <xdr:cNvSpPr txBox="1"/>
      </xdr:nvSpPr>
      <xdr:spPr>
        <a:xfrm>
          <a:off x="5838825" y="1202055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47625</xdr:colOff>
      <xdr:row>51</xdr:row>
      <xdr:rowOff>28575</xdr:rowOff>
    </xdr:from>
    <xdr:ext cx="9039225" cy="1181100"/>
    <xdr:sp macro="" textlink="">
      <xdr:nvSpPr>
        <xdr:cNvPr id="24" name="テキスト ボックス 23">
          <a:extLst>
            <a:ext uri="{FF2B5EF4-FFF2-40B4-BE49-F238E27FC236}">
              <a16:creationId xmlns:a16="http://schemas.microsoft.com/office/drawing/2014/main" id="{4D33BAAA-940D-4E35-A10E-22C983B6FD06}"/>
            </a:ext>
          </a:extLst>
        </xdr:cNvPr>
        <xdr:cNvSpPr txBox="1"/>
      </xdr:nvSpPr>
      <xdr:spPr>
        <a:xfrm>
          <a:off x="47625" y="9610725"/>
          <a:ext cx="9039225" cy="1181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20</xdr:col>
      <xdr:colOff>266700</xdr:colOff>
      <xdr:row>56</xdr:row>
      <xdr:rowOff>9525</xdr:rowOff>
    </xdr:from>
    <xdr:ext cx="2247898" cy="354969"/>
    <xdr:sp macro="" textlink="">
      <xdr:nvSpPr>
        <xdr:cNvPr id="25" name="テキスト ボックス 24">
          <a:extLst>
            <a:ext uri="{FF2B5EF4-FFF2-40B4-BE49-F238E27FC236}">
              <a16:creationId xmlns:a16="http://schemas.microsoft.com/office/drawing/2014/main" id="{4CA79E9F-2B85-49A6-B6F2-599770879971}"/>
            </a:ext>
          </a:extLst>
        </xdr:cNvPr>
        <xdr:cNvSpPr txBox="1"/>
      </xdr:nvSpPr>
      <xdr:spPr>
        <a:xfrm>
          <a:off x="5791200" y="1059180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15</xdr:col>
      <xdr:colOff>152400</xdr:colOff>
      <xdr:row>46</xdr:row>
      <xdr:rowOff>19050</xdr:rowOff>
    </xdr:from>
    <xdr:ext cx="2771775" cy="354969"/>
    <xdr:sp macro="" textlink="">
      <xdr:nvSpPr>
        <xdr:cNvPr id="26" name="テキスト ボックス 25">
          <a:extLst>
            <a:ext uri="{FF2B5EF4-FFF2-40B4-BE49-F238E27FC236}">
              <a16:creationId xmlns:a16="http://schemas.microsoft.com/office/drawing/2014/main" id="{505C8BD6-732F-4A43-A03E-D8179BBE44A8}"/>
            </a:ext>
          </a:extLst>
        </xdr:cNvPr>
        <xdr:cNvSpPr txBox="1"/>
      </xdr:nvSpPr>
      <xdr:spPr>
        <a:xfrm>
          <a:off x="4295775" y="920115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18</xdr:col>
      <xdr:colOff>219075</xdr:colOff>
      <xdr:row>39</xdr:row>
      <xdr:rowOff>19050</xdr:rowOff>
    </xdr:from>
    <xdr:ext cx="1971674" cy="354969"/>
    <xdr:sp macro="" textlink="">
      <xdr:nvSpPr>
        <xdr:cNvPr id="27" name="テキスト ボックス 26">
          <a:extLst>
            <a:ext uri="{FF2B5EF4-FFF2-40B4-BE49-F238E27FC236}">
              <a16:creationId xmlns:a16="http://schemas.microsoft.com/office/drawing/2014/main" id="{07EAE860-A0B6-4EB5-8818-56A0377E1996}"/>
            </a:ext>
          </a:extLst>
        </xdr:cNvPr>
        <xdr:cNvSpPr txBox="1"/>
      </xdr:nvSpPr>
      <xdr:spPr>
        <a:xfrm>
          <a:off x="5191125" y="780097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twoCellAnchor>
    <xdr:from>
      <xdr:col>26</xdr:col>
      <xdr:colOff>104774</xdr:colOff>
      <xdr:row>39</xdr:row>
      <xdr:rowOff>9525</xdr:rowOff>
    </xdr:from>
    <xdr:to>
      <xdr:col>26</xdr:col>
      <xdr:colOff>200024</xdr:colOff>
      <xdr:row>40</xdr:row>
      <xdr:rowOff>169500</xdr:rowOff>
    </xdr:to>
    <xdr:sp macro="" textlink="">
      <xdr:nvSpPr>
        <xdr:cNvPr id="28" name="左大かっこ 27">
          <a:extLst>
            <a:ext uri="{FF2B5EF4-FFF2-40B4-BE49-F238E27FC236}">
              <a16:creationId xmlns:a16="http://schemas.microsoft.com/office/drawing/2014/main" id="{08444146-4663-46CB-A890-3051E46DD158}"/>
            </a:ext>
          </a:extLst>
        </xdr:cNvPr>
        <xdr:cNvSpPr/>
      </xdr:nvSpPr>
      <xdr:spPr>
        <a:xfrm>
          <a:off x="7286624" y="7791450"/>
          <a:ext cx="95250" cy="360000"/>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247651</xdr:colOff>
      <xdr:row>23</xdr:row>
      <xdr:rowOff>190500</xdr:rowOff>
    </xdr:from>
    <xdr:ext cx="5295900" cy="354969"/>
    <xdr:sp macro="" textlink="">
      <xdr:nvSpPr>
        <xdr:cNvPr id="29" name="テキスト ボックス 28">
          <a:extLst>
            <a:ext uri="{FF2B5EF4-FFF2-40B4-BE49-F238E27FC236}">
              <a16:creationId xmlns:a16="http://schemas.microsoft.com/office/drawing/2014/main" id="{AA76D922-2969-49C1-AC1C-21EB49FEB932}"/>
            </a:ext>
          </a:extLst>
        </xdr:cNvPr>
        <xdr:cNvSpPr txBox="1"/>
      </xdr:nvSpPr>
      <xdr:spPr>
        <a:xfrm>
          <a:off x="3562351" y="4772025"/>
          <a:ext cx="5295900" cy="354969"/>
        </a:xfrm>
        <a:prstGeom prst="rect">
          <a:avLst/>
        </a:prstGeom>
        <a:solidFill>
          <a:schemeClr val="accent1">
            <a:lumMod val="20000"/>
            <a:lumOff val="80000"/>
            <a:alpha val="7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）を届け出る場合には、チェックをしてください</a:t>
          </a:r>
        </a:p>
      </xdr:txBody>
    </xdr:sp>
    <xdr:clientData/>
  </xdr:oneCellAnchor>
  <xdr:twoCellAnchor>
    <xdr:from>
      <xdr:col>19</xdr:col>
      <xdr:colOff>152401</xdr:colOff>
      <xdr:row>25</xdr:row>
      <xdr:rowOff>142875</xdr:rowOff>
    </xdr:from>
    <xdr:to>
      <xdr:col>21</xdr:col>
      <xdr:colOff>161926</xdr:colOff>
      <xdr:row>26</xdr:row>
      <xdr:rowOff>104775</xdr:rowOff>
    </xdr:to>
    <xdr:cxnSp macro="">
      <xdr:nvCxnSpPr>
        <xdr:cNvPr id="30" name="コネクタ: カギ線 29">
          <a:extLst>
            <a:ext uri="{FF2B5EF4-FFF2-40B4-BE49-F238E27FC236}">
              <a16:creationId xmlns:a16="http://schemas.microsoft.com/office/drawing/2014/main" id="{CD3EE8A4-4A15-4C53-B787-A85F0028D508}"/>
            </a:ext>
          </a:extLst>
        </xdr:cNvPr>
        <xdr:cNvCxnSpPr/>
      </xdr:nvCxnSpPr>
      <xdr:spPr>
        <a:xfrm>
          <a:off x="5400676" y="5124450"/>
          <a:ext cx="561975" cy="161925"/>
        </a:xfrm>
        <a:prstGeom prst="bentConnector3">
          <a:avLst>
            <a:gd name="adj1" fmla="val -932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18</xdr:col>
      <xdr:colOff>38101</xdr:colOff>
      <xdr:row>29</xdr:row>
      <xdr:rowOff>76200</xdr:rowOff>
    </xdr:from>
    <xdr:ext cx="3905250" cy="354969"/>
    <xdr:sp macro="" textlink="">
      <xdr:nvSpPr>
        <xdr:cNvPr id="31" name="テキスト ボックス 30">
          <a:extLst>
            <a:ext uri="{FF2B5EF4-FFF2-40B4-BE49-F238E27FC236}">
              <a16:creationId xmlns:a16="http://schemas.microsoft.com/office/drawing/2014/main" id="{7DAD475D-EC5C-4F17-B795-178C8562FB64}"/>
            </a:ext>
          </a:extLst>
        </xdr:cNvPr>
        <xdr:cNvSpPr txBox="1"/>
      </xdr:nvSpPr>
      <xdr:spPr>
        <a:xfrm>
          <a:off x="5010151" y="585787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96</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24</xdr:col>
      <xdr:colOff>19051</xdr:colOff>
      <xdr:row>31</xdr:row>
      <xdr:rowOff>28575</xdr:rowOff>
    </xdr:from>
    <xdr:to>
      <xdr:col>26</xdr:col>
      <xdr:colOff>85726</xdr:colOff>
      <xdr:row>33</xdr:row>
      <xdr:rowOff>104775</xdr:rowOff>
    </xdr:to>
    <xdr:cxnSp macro="">
      <xdr:nvCxnSpPr>
        <xdr:cNvPr id="32" name="コネクタ: カギ線 31">
          <a:extLst>
            <a:ext uri="{FF2B5EF4-FFF2-40B4-BE49-F238E27FC236}">
              <a16:creationId xmlns:a16="http://schemas.microsoft.com/office/drawing/2014/main" id="{AD00CC62-33EF-4116-A031-8DDAE00A5FDD}"/>
            </a:ext>
          </a:extLst>
        </xdr:cNvPr>
        <xdr:cNvCxnSpPr/>
      </xdr:nvCxnSpPr>
      <xdr:spPr>
        <a:xfrm>
          <a:off x="6648451" y="6210300"/>
          <a:ext cx="619125" cy="476250"/>
        </a:xfrm>
        <a:prstGeom prst="bentConnector3">
          <a:avLst>
            <a:gd name="adj1" fmla="val 50000"/>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114301</xdr:colOff>
      <xdr:row>32</xdr:row>
      <xdr:rowOff>57149</xdr:rowOff>
    </xdr:from>
    <xdr:to>
      <xdr:col>26</xdr:col>
      <xdr:colOff>209551</xdr:colOff>
      <xdr:row>38</xdr:row>
      <xdr:rowOff>161924</xdr:rowOff>
    </xdr:to>
    <xdr:sp macro="" textlink="">
      <xdr:nvSpPr>
        <xdr:cNvPr id="33" name="左大かっこ 32">
          <a:extLst>
            <a:ext uri="{FF2B5EF4-FFF2-40B4-BE49-F238E27FC236}">
              <a16:creationId xmlns:a16="http://schemas.microsoft.com/office/drawing/2014/main" id="{8686C52D-1E49-4654-8432-0F746F487FE3}"/>
            </a:ext>
          </a:extLst>
        </xdr:cNvPr>
        <xdr:cNvSpPr/>
      </xdr:nvSpPr>
      <xdr:spPr>
        <a:xfrm>
          <a:off x="7296151" y="6438899"/>
          <a:ext cx="95250" cy="1304925"/>
        </a:xfrm>
        <a:prstGeom prst="leftBracket">
          <a:avLst/>
        </a:prstGeom>
        <a:ln>
          <a:solidFill>
            <a:schemeClr val="accent6"/>
          </a:solidFill>
        </a:ln>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95251</xdr:colOff>
      <xdr:row>1</xdr:row>
      <xdr:rowOff>133350</xdr:rowOff>
    </xdr:from>
    <xdr:ext cx="2162175" cy="755079"/>
    <xdr:sp macro="" textlink="">
      <xdr:nvSpPr>
        <xdr:cNvPr id="34" name="テキスト ボックス 33">
          <a:extLst>
            <a:ext uri="{FF2B5EF4-FFF2-40B4-BE49-F238E27FC236}">
              <a16:creationId xmlns:a16="http://schemas.microsoft.com/office/drawing/2014/main" id="{43003984-6151-486F-AF73-689BF30554EB}"/>
            </a:ext>
          </a:extLst>
        </xdr:cNvPr>
        <xdr:cNvSpPr txBox="1"/>
      </xdr:nvSpPr>
      <xdr:spPr>
        <a:xfrm>
          <a:off x="371476" y="333375"/>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47626</xdr:colOff>
      <xdr:row>1</xdr:row>
      <xdr:rowOff>180975</xdr:rowOff>
    </xdr:from>
    <xdr:to>
      <xdr:col>17</xdr:col>
      <xdr:colOff>257176</xdr:colOff>
      <xdr:row>3</xdr:row>
      <xdr:rowOff>129890</xdr:rowOff>
    </xdr:to>
    <xdr:cxnSp macro="">
      <xdr:nvCxnSpPr>
        <xdr:cNvPr id="35" name="直線矢印コネクタ 34">
          <a:extLst>
            <a:ext uri="{FF2B5EF4-FFF2-40B4-BE49-F238E27FC236}">
              <a16:creationId xmlns:a16="http://schemas.microsoft.com/office/drawing/2014/main" id="{AD73727D-FD75-4B43-AF4B-8BCD5E003B8E}"/>
            </a:ext>
          </a:extLst>
        </xdr:cNvPr>
        <xdr:cNvCxnSpPr>
          <a:stCxn id="34" idx="3"/>
        </xdr:cNvCxnSpPr>
      </xdr:nvCxnSpPr>
      <xdr:spPr>
        <a:xfrm flipV="1">
          <a:off x="2533651" y="381000"/>
          <a:ext cx="2419350" cy="3299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22</xdr:col>
      <xdr:colOff>104776</xdr:colOff>
      <xdr:row>6</xdr:row>
      <xdr:rowOff>190500</xdr:rowOff>
    </xdr:from>
    <xdr:ext cx="2781300" cy="367408"/>
    <xdr:sp macro="" textlink="">
      <xdr:nvSpPr>
        <xdr:cNvPr id="36" name="テキスト ボックス 35">
          <a:extLst>
            <a:ext uri="{FF2B5EF4-FFF2-40B4-BE49-F238E27FC236}">
              <a16:creationId xmlns:a16="http://schemas.microsoft.com/office/drawing/2014/main" id="{D3AF359C-3D90-4673-AB1A-5DCE5B64704C}"/>
            </a:ext>
          </a:extLst>
        </xdr:cNvPr>
        <xdr:cNvSpPr txBox="1"/>
      </xdr:nvSpPr>
      <xdr:spPr>
        <a:xfrm>
          <a:off x="6181726" y="1371600"/>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190501</xdr:colOff>
      <xdr:row>7</xdr:row>
      <xdr:rowOff>174179</xdr:rowOff>
    </xdr:from>
    <xdr:to>
      <xdr:col>22</xdr:col>
      <xdr:colOff>104776</xdr:colOff>
      <xdr:row>8</xdr:row>
      <xdr:rowOff>142875</xdr:rowOff>
    </xdr:to>
    <xdr:cxnSp macro="">
      <xdr:nvCxnSpPr>
        <xdr:cNvPr id="37" name="直線矢印コネクタ 36">
          <a:extLst>
            <a:ext uri="{FF2B5EF4-FFF2-40B4-BE49-F238E27FC236}">
              <a16:creationId xmlns:a16="http://schemas.microsoft.com/office/drawing/2014/main" id="{360DE339-428B-4740-ADB4-B7D3B7A96A57}"/>
            </a:ext>
          </a:extLst>
        </xdr:cNvPr>
        <xdr:cNvCxnSpPr>
          <a:stCxn id="36" idx="1"/>
        </xdr:cNvCxnSpPr>
      </xdr:nvCxnSpPr>
      <xdr:spPr>
        <a:xfrm flipH="1">
          <a:off x="5438776" y="1555304"/>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209551</xdr:colOff>
      <xdr:row>12</xdr:row>
      <xdr:rowOff>76200</xdr:rowOff>
    </xdr:from>
    <xdr:ext cx="4324350" cy="354969"/>
    <xdr:sp macro="" textlink="">
      <xdr:nvSpPr>
        <xdr:cNvPr id="38" name="テキスト ボックス 37">
          <a:extLst>
            <a:ext uri="{FF2B5EF4-FFF2-40B4-BE49-F238E27FC236}">
              <a16:creationId xmlns:a16="http://schemas.microsoft.com/office/drawing/2014/main" id="{7B2835D5-C7C2-49E5-9CD8-5D4B70F39BA7}"/>
            </a:ext>
          </a:extLst>
        </xdr:cNvPr>
        <xdr:cNvSpPr txBox="1"/>
      </xdr:nvSpPr>
      <xdr:spPr>
        <a:xfrm>
          <a:off x="4629151" y="2457450"/>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219076</xdr:colOff>
      <xdr:row>13</xdr:row>
      <xdr:rowOff>53660</xdr:rowOff>
    </xdr:from>
    <xdr:to>
      <xdr:col>16</xdr:col>
      <xdr:colOff>209551</xdr:colOff>
      <xdr:row>14</xdr:row>
      <xdr:rowOff>66675</xdr:rowOff>
    </xdr:to>
    <xdr:cxnSp macro="">
      <xdr:nvCxnSpPr>
        <xdr:cNvPr id="39" name="直線矢印コネクタ 38">
          <a:extLst>
            <a:ext uri="{FF2B5EF4-FFF2-40B4-BE49-F238E27FC236}">
              <a16:creationId xmlns:a16="http://schemas.microsoft.com/office/drawing/2014/main" id="{4B7E06ED-8118-4ED8-90FB-A3BDBACC0F86}"/>
            </a:ext>
          </a:extLst>
        </xdr:cNvPr>
        <xdr:cNvCxnSpPr>
          <a:stCxn id="38" idx="1"/>
        </xdr:cNvCxnSpPr>
      </xdr:nvCxnSpPr>
      <xdr:spPr>
        <a:xfrm flipH="1">
          <a:off x="1876426" y="2634935"/>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13</xdr:col>
      <xdr:colOff>66676</xdr:colOff>
      <xdr:row>17</xdr:row>
      <xdr:rowOff>133350</xdr:rowOff>
    </xdr:from>
    <xdr:ext cx="5295900" cy="354969"/>
    <xdr:sp macro="" textlink="">
      <xdr:nvSpPr>
        <xdr:cNvPr id="40" name="テキスト ボックス 39">
          <a:extLst>
            <a:ext uri="{FF2B5EF4-FFF2-40B4-BE49-F238E27FC236}">
              <a16:creationId xmlns:a16="http://schemas.microsoft.com/office/drawing/2014/main" id="{10B4687D-AE9C-4FC3-BA72-8FF3D1BF16F9}"/>
            </a:ext>
          </a:extLst>
        </xdr:cNvPr>
        <xdr:cNvSpPr txBox="1"/>
      </xdr:nvSpPr>
      <xdr:spPr>
        <a:xfrm>
          <a:off x="3657601" y="3514725"/>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9</xdr:col>
      <xdr:colOff>19051</xdr:colOff>
      <xdr:row>18</xdr:row>
      <xdr:rowOff>110810</xdr:rowOff>
    </xdr:from>
    <xdr:to>
      <xdr:col>13</xdr:col>
      <xdr:colOff>66676</xdr:colOff>
      <xdr:row>19</xdr:row>
      <xdr:rowOff>76200</xdr:rowOff>
    </xdr:to>
    <xdr:cxnSp macro="">
      <xdr:nvCxnSpPr>
        <xdr:cNvPr id="41" name="直線矢印コネクタ 40">
          <a:extLst>
            <a:ext uri="{FF2B5EF4-FFF2-40B4-BE49-F238E27FC236}">
              <a16:creationId xmlns:a16="http://schemas.microsoft.com/office/drawing/2014/main" id="{1046EF2F-D68F-4A52-99FC-968CCC1C1A4B}"/>
            </a:ext>
          </a:extLst>
        </xdr:cNvPr>
        <xdr:cNvCxnSpPr>
          <a:stCxn id="40" idx="1"/>
        </xdr:cNvCxnSpPr>
      </xdr:nvCxnSpPr>
      <xdr:spPr>
        <a:xfrm flipH="1">
          <a:off x="2505076" y="3692210"/>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12</xdr:col>
      <xdr:colOff>209550</xdr:colOff>
      <xdr:row>23</xdr:row>
      <xdr:rowOff>180975</xdr:rowOff>
    </xdr:from>
    <xdr:ext cx="5295900" cy="354969"/>
    <xdr:sp macro="" textlink="">
      <xdr:nvSpPr>
        <xdr:cNvPr id="6" name="テキスト ボックス 5">
          <a:extLst>
            <a:ext uri="{FF2B5EF4-FFF2-40B4-BE49-F238E27FC236}">
              <a16:creationId xmlns:a16="http://schemas.microsoft.com/office/drawing/2014/main" id="{816ADEF0-2782-4D82-8391-BC76CEF8D0FC}"/>
            </a:ext>
          </a:extLst>
        </xdr:cNvPr>
        <xdr:cNvSpPr txBox="1"/>
      </xdr:nvSpPr>
      <xdr:spPr>
        <a:xfrm>
          <a:off x="3524250" y="4762500"/>
          <a:ext cx="5295900" cy="354969"/>
        </a:xfrm>
        <a:prstGeom prst="rect">
          <a:avLst/>
        </a:prstGeom>
        <a:solidFill>
          <a:schemeClr val="accent1">
            <a:lumMod val="20000"/>
            <a:lumOff val="80000"/>
            <a:alpha val="7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a:t>
          </a:r>
          <a:r>
            <a:rPr kumimoji="1" lang="en-US" altLang="ja-JP" sz="1050">
              <a:latin typeface="メイリオ" panose="020B0604030504040204" pitchFamily="50" charset="-128"/>
              <a:ea typeface="メイリオ" panose="020B0604030504040204" pitchFamily="50" charset="-128"/>
            </a:rPr>
            <a:t>Ⅱ</a:t>
          </a:r>
          <a:r>
            <a:rPr kumimoji="1" lang="ja-JP" altLang="en-US" sz="1050">
              <a:latin typeface="メイリオ" panose="020B0604030504040204" pitchFamily="50" charset="-128"/>
              <a:ea typeface="メイリオ" panose="020B0604030504040204" pitchFamily="50" charset="-128"/>
            </a:rPr>
            <a:t>）を届け出る場合には、チェックをしてください</a:t>
          </a:r>
        </a:p>
      </xdr:txBody>
    </xdr:sp>
    <xdr:clientData/>
  </xdr:oneCellAnchor>
  <xdr:twoCellAnchor>
    <xdr:from>
      <xdr:col>19</xdr:col>
      <xdr:colOff>114300</xdr:colOff>
      <xdr:row>25</xdr:row>
      <xdr:rowOff>133350</xdr:rowOff>
    </xdr:from>
    <xdr:to>
      <xdr:col>21</xdr:col>
      <xdr:colOff>123825</xdr:colOff>
      <xdr:row>26</xdr:row>
      <xdr:rowOff>95250</xdr:rowOff>
    </xdr:to>
    <xdr:cxnSp macro="">
      <xdr:nvCxnSpPr>
        <xdr:cNvPr id="8" name="コネクタ: カギ線 7">
          <a:extLst>
            <a:ext uri="{FF2B5EF4-FFF2-40B4-BE49-F238E27FC236}">
              <a16:creationId xmlns:a16="http://schemas.microsoft.com/office/drawing/2014/main" id="{0EB81F40-3DA3-4B66-BDE7-C791FE12A740}"/>
            </a:ext>
          </a:extLst>
        </xdr:cNvPr>
        <xdr:cNvCxnSpPr/>
      </xdr:nvCxnSpPr>
      <xdr:spPr>
        <a:xfrm>
          <a:off x="5362575" y="5114925"/>
          <a:ext cx="561975" cy="161925"/>
        </a:xfrm>
        <a:prstGeom prst="bentConnector3">
          <a:avLst>
            <a:gd name="adj1" fmla="val -9322"/>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xdr:col>
      <xdr:colOff>57150</xdr:colOff>
      <xdr:row>1</xdr:row>
      <xdr:rowOff>123825</xdr:rowOff>
    </xdr:from>
    <xdr:ext cx="2162175" cy="755079"/>
    <xdr:sp macro="" textlink="">
      <xdr:nvSpPr>
        <xdr:cNvPr id="9" name="テキスト ボックス 8">
          <a:extLst>
            <a:ext uri="{FF2B5EF4-FFF2-40B4-BE49-F238E27FC236}">
              <a16:creationId xmlns:a16="http://schemas.microsoft.com/office/drawing/2014/main" id="{BF64085E-C326-46B6-86A7-DB085E79219F}"/>
            </a:ext>
          </a:extLst>
        </xdr:cNvPr>
        <xdr:cNvSpPr txBox="1"/>
      </xdr:nvSpPr>
      <xdr:spPr>
        <a:xfrm>
          <a:off x="333375" y="323850"/>
          <a:ext cx="2162175" cy="75507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届出する年度を入力</a:t>
          </a:r>
          <a:endParaRPr kumimoji="1" lang="en-US" altLang="ja-JP" sz="105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（賃金改善計画書は、毎年度作成する必要があります）</a:t>
          </a:r>
        </a:p>
      </xdr:txBody>
    </xdr:sp>
    <xdr:clientData/>
  </xdr:oneCellAnchor>
  <xdr:twoCellAnchor>
    <xdr:from>
      <xdr:col>9</xdr:col>
      <xdr:colOff>9525</xdr:colOff>
      <xdr:row>1</xdr:row>
      <xdr:rowOff>171450</xdr:rowOff>
    </xdr:from>
    <xdr:to>
      <xdr:col>17</xdr:col>
      <xdr:colOff>219075</xdr:colOff>
      <xdr:row>3</xdr:row>
      <xdr:rowOff>120365</xdr:rowOff>
    </xdr:to>
    <xdr:cxnSp macro="">
      <xdr:nvCxnSpPr>
        <xdr:cNvPr id="10" name="直線矢印コネクタ 9">
          <a:extLst>
            <a:ext uri="{FF2B5EF4-FFF2-40B4-BE49-F238E27FC236}">
              <a16:creationId xmlns:a16="http://schemas.microsoft.com/office/drawing/2014/main" id="{A4545B0C-1069-4028-8313-3E0AC2B8ACAD}"/>
            </a:ext>
          </a:extLst>
        </xdr:cNvPr>
        <xdr:cNvCxnSpPr>
          <a:stCxn id="9" idx="3"/>
        </xdr:cNvCxnSpPr>
      </xdr:nvCxnSpPr>
      <xdr:spPr>
        <a:xfrm flipV="1">
          <a:off x="2495550" y="371475"/>
          <a:ext cx="2419350" cy="3299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22</xdr:col>
      <xdr:colOff>66675</xdr:colOff>
      <xdr:row>6</xdr:row>
      <xdr:rowOff>180975</xdr:rowOff>
    </xdr:from>
    <xdr:ext cx="2781300" cy="367408"/>
    <xdr:sp macro="" textlink="">
      <xdr:nvSpPr>
        <xdr:cNvPr id="11" name="テキスト ボックス 10">
          <a:extLst>
            <a:ext uri="{FF2B5EF4-FFF2-40B4-BE49-F238E27FC236}">
              <a16:creationId xmlns:a16="http://schemas.microsoft.com/office/drawing/2014/main" id="{7FDE81A5-BA5D-4215-920D-D68219A0C3BF}"/>
            </a:ext>
          </a:extLst>
        </xdr:cNvPr>
        <xdr:cNvSpPr txBox="1"/>
      </xdr:nvSpPr>
      <xdr:spPr>
        <a:xfrm>
          <a:off x="6143625" y="1362075"/>
          <a:ext cx="2781300" cy="367408"/>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メイリオ" panose="020B0604030504040204" pitchFamily="50" charset="-128"/>
              <a:ea typeface="メイリオ" panose="020B0604030504040204" pitchFamily="50" charset="-128"/>
            </a:rPr>
            <a:t>賃金</a:t>
          </a:r>
          <a:r>
            <a:rPr kumimoji="1" lang="ja-JP" altLang="en-US" sz="1050">
              <a:latin typeface="メイリオ" panose="020B0604030504040204" pitchFamily="50" charset="-128"/>
              <a:ea typeface="メイリオ" panose="020B0604030504040204" pitchFamily="50" charset="-128"/>
            </a:rPr>
            <a:t>引き上げ</a:t>
          </a:r>
          <a:r>
            <a:rPr kumimoji="1" lang="ja-JP" altLang="en-US" sz="1100">
              <a:latin typeface="メイリオ" panose="020B0604030504040204" pitchFamily="50" charset="-128"/>
              <a:ea typeface="メイリオ" panose="020B0604030504040204" pitchFamily="50" charset="-128"/>
            </a:rPr>
            <a:t>の実施方法を選択</a:t>
          </a:r>
        </a:p>
      </xdr:txBody>
    </xdr:sp>
    <xdr:clientData/>
  </xdr:oneCellAnchor>
  <xdr:twoCellAnchor>
    <xdr:from>
      <xdr:col>19</xdr:col>
      <xdr:colOff>152400</xdr:colOff>
      <xdr:row>7</xdr:row>
      <xdr:rowOff>164654</xdr:rowOff>
    </xdr:from>
    <xdr:to>
      <xdr:col>22</xdr:col>
      <xdr:colOff>66675</xdr:colOff>
      <xdr:row>8</xdr:row>
      <xdr:rowOff>133350</xdr:rowOff>
    </xdr:to>
    <xdr:cxnSp macro="">
      <xdr:nvCxnSpPr>
        <xdr:cNvPr id="12" name="直線矢印コネクタ 11">
          <a:extLst>
            <a:ext uri="{FF2B5EF4-FFF2-40B4-BE49-F238E27FC236}">
              <a16:creationId xmlns:a16="http://schemas.microsoft.com/office/drawing/2014/main" id="{CD9A7C85-2535-4623-A742-B3E75C5E5009}"/>
            </a:ext>
          </a:extLst>
        </xdr:cNvPr>
        <xdr:cNvCxnSpPr>
          <a:stCxn id="11" idx="1"/>
        </xdr:cNvCxnSpPr>
      </xdr:nvCxnSpPr>
      <xdr:spPr>
        <a:xfrm flipH="1">
          <a:off x="5400675" y="1545779"/>
          <a:ext cx="742950" cy="1687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171450</xdr:colOff>
      <xdr:row>12</xdr:row>
      <xdr:rowOff>66675</xdr:rowOff>
    </xdr:from>
    <xdr:ext cx="4324350" cy="354969"/>
    <xdr:sp macro="" textlink="">
      <xdr:nvSpPr>
        <xdr:cNvPr id="13" name="テキスト ボックス 12">
          <a:extLst>
            <a:ext uri="{FF2B5EF4-FFF2-40B4-BE49-F238E27FC236}">
              <a16:creationId xmlns:a16="http://schemas.microsoft.com/office/drawing/2014/main" id="{E379BC42-EF08-4C29-B105-51CA29BE961F}"/>
            </a:ext>
          </a:extLst>
        </xdr:cNvPr>
        <xdr:cNvSpPr txBox="1"/>
      </xdr:nvSpPr>
      <xdr:spPr>
        <a:xfrm>
          <a:off x="4591050" y="2447925"/>
          <a:ext cx="432435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賃金改善実施期間を入力。終期は当年度末の３月となります。</a:t>
          </a:r>
        </a:p>
      </xdr:txBody>
    </xdr:sp>
    <xdr:clientData/>
  </xdr:oneCellAnchor>
  <xdr:twoCellAnchor>
    <xdr:from>
      <xdr:col>6</xdr:col>
      <xdr:colOff>180975</xdr:colOff>
      <xdr:row>13</xdr:row>
      <xdr:rowOff>44135</xdr:rowOff>
    </xdr:from>
    <xdr:to>
      <xdr:col>16</xdr:col>
      <xdr:colOff>171450</xdr:colOff>
      <xdr:row>14</xdr:row>
      <xdr:rowOff>57150</xdr:rowOff>
    </xdr:to>
    <xdr:cxnSp macro="">
      <xdr:nvCxnSpPr>
        <xdr:cNvPr id="14" name="直線矢印コネクタ 13">
          <a:extLst>
            <a:ext uri="{FF2B5EF4-FFF2-40B4-BE49-F238E27FC236}">
              <a16:creationId xmlns:a16="http://schemas.microsoft.com/office/drawing/2014/main" id="{A7C2AFB7-4329-4756-8C2F-48F77079409C}"/>
            </a:ext>
          </a:extLst>
        </xdr:cNvPr>
        <xdr:cNvCxnSpPr>
          <a:stCxn id="13" idx="1"/>
        </xdr:cNvCxnSpPr>
      </xdr:nvCxnSpPr>
      <xdr:spPr>
        <a:xfrm flipH="1">
          <a:off x="1838325" y="2625410"/>
          <a:ext cx="2752725" cy="2130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13</xdr:col>
      <xdr:colOff>28575</xdr:colOff>
      <xdr:row>17</xdr:row>
      <xdr:rowOff>123825</xdr:rowOff>
    </xdr:from>
    <xdr:ext cx="5295900" cy="354969"/>
    <xdr:sp macro="" textlink="">
      <xdr:nvSpPr>
        <xdr:cNvPr id="16" name="テキスト ボックス 15">
          <a:extLst>
            <a:ext uri="{FF2B5EF4-FFF2-40B4-BE49-F238E27FC236}">
              <a16:creationId xmlns:a16="http://schemas.microsoft.com/office/drawing/2014/main" id="{C8606236-8A46-4763-87A4-B4BAD12AF0D8}"/>
            </a:ext>
          </a:extLst>
        </xdr:cNvPr>
        <xdr:cNvSpPr txBox="1"/>
      </xdr:nvSpPr>
      <xdr:spPr>
        <a:xfrm>
          <a:off x="3619500" y="3505200"/>
          <a:ext cx="5295900"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ベースアップ評価料の算定期間を入力。終期は当年度末の３月となります。</a:t>
          </a:r>
        </a:p>
      </xdr:txBody>
    </xdr:sp>
    <xdr:clientData/>
  </xdr:oneCellAnchor>
  <xdr:twoCellAnchor>
    <xdr:from>
      <xdr:col>8</xdr:col>
      <xdr:colOff>257175</xdr:colOff>
      <xdr:row>18</xdr:row>
      <xdr:rowOff>101285</xdr:rowOff>
    </xdr:from>
    <xdr:to>
      <xdr:col>13</xdr:col>
      <xdr:colOff>28575</xdr:colOff>
      <xdr:row>19</xdr:row>
      <xdr:rowOff>66675</xdr:rowOff>
    </xdr:to>
    <xdr:cxnSp macro="">
      <xdr:nvCxnSpPr>
        <xdr:cNvPr id="17" name="直線矢印コネクタ 16">
          <a:extLst>
            <a:ext uri="{FF2B5EF4-FFF2-40B4-BE49-F238E27FC236}">
              <a16:creationId xmlns:a16="http://schemas.microsoft.com/office/drawing/2014/main" id="{7774FAB9-FE09-4AFC-9ACA-532911D64593}"/>
            </a:ext>
          </a:extLst>
        </xdr:cNvPr>
        <xdr:cNvCxnSpPr>
          <a:stCxn id="16" idx="1"/>
        </xdr:cNvCxnSpPr>
      </xdr:nvCxnSpPr>
      <xdr:spPr>
        <a:xfrm flipH="1">
          <a:off x="2466975" y="3682685"/>
          <a:ext cx="1152525" cy="16541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15</xdr:col>
      <xdr:colOff>104775</xdr:colOff>
      <xdr:row>125</xdr:row>
      <xdr:rowOff>19050</xdr:rowOff>
    </xdr:from>
    <xdr:ext cx="2524125" cy="354969"/>
    <xdr:sp macro="" textlink="">
      <xdr:nvSpPr>
        <xdr:cNvPr id="18" name="テキスト ボックス 17">
          <a:extLst>
            <a:ext uri="{FF2B5EF4-FFF2-40B4-BE49-F238E27FC236}">
              <a16:creationId xmlns:a16="http://schemas.microsoft.com/office/drawing/2014/main" id="{9064ED5F-8013-4DDB-8E1F-37EB37B5B365}"/>
            </a:ext>
          </a:extLst>
        </xdr:cNvPr>
        <xdr:cNvSpPr txBox="1"/>
      </xdr:nvSpPr>
      <xdr:spPr>
        <a:xfrm>
          <a:off x="4248150" y="15001875"/>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24</xdr:col>
      <xdr:colOff>142875</xdr:colOff>
      <xdr:row>125</xdr:row>
      <xdr:rowOff>190500</xdr:rowOff>
    </xdr:from>
    <xdr:to>
      <xdr:col>28</xdr:col>
      <xdr:colOff>104776</xdr:colOff>
      <xdr:row>127</xdr:row>
      <xdr:rowOff>85725</xdr:rowOff>
    </xdr:to>
    <xdr:cxnSp macro="">
      <xdr:nvCxnSpPr>
        <xdr:cNvPr id="19" name="直線矢印コネクタ 18">
          <a:extLst>
            <a:ext uri="{FF2B5EF4-FFF2-40B4-BE49-F238E27FC236}">
              <a16:creationId xmlns:a16="http://schemas.microsoft.com/office/drawing/2014/main" id="{F5924A99-929B-416F-9664-1ABF1CDE1907}"/>
            </a:ext>
          </a:extLst>
        </xdr:cNvPr>
        <xdr:cNvCxnSpPr>
          <a:stCxn id="18" idx="3"/>
        </xdr:cNvCxnSpPr>
      </xdr:nvCxnSpPr>
      <xdr:spPr>
        <a:xfrm>
          <a:off x="6772275" y="15173325"/>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16</xdr:col>
      <xdr:colOff>28575</xdr:colOff>
      <xdr:row>76</xdr:row>
      <xdr:rowOff>0</xdr:rowOff>
    </xdr:from>
    <xdr:ext cx="2524125" cy="354969"/>
    <xdr:sp macro="" textlink="">
      <xdr:nvSpPr>
        <xdr:cNvPr id="20" name="テキスト ボックス 19">
          <a:extLst>
            <a:ext uri="{FF2B5EF4-FFF2-40B4-BE49-F238E27FC236}">
              <a16:creationId xmlns:a16="http://schemas.microsoft.com/office/drawing/2014/main" id="{34E93AC5-0B6E-45E7-9D22-CD2C3E884FF3}"/>
            </a:ext>
          </a:extLst>
        </xdr:cNvPr>
        <xdr:cNvSpPr txBox="1"/>
      </xdr:nvSpPr>
      <xdr:spPr>
        <a:xfrm>
          <a:off x="4448175" y="1318260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ベア等の金額を入力</a:t>
          </a:r>
        </a:p>
      </xdr:txBody>
    </xdr:sp>
    <xdr:clientData/>
  </xdr:oneCellAnchor>
  <xdr:twoCellAnchor>
    <xdr:from>
      <xdr:col>25</xdr:col>
      <xdr:colOff>66675</xdr:colOff>
      <xdr:row>76</xdr:row>
      <xdr:rowOff>171450</xdr:rowOff>
    </xdr:from>
    <xdr:to>
      <xdr:col>29</xdr:col>
      <xdr:colOff>28576</xdr:colOff>
      <xdr:row>78</xdr:row>
      <xdr:rowOff>66675</xdr:rowOff>
    </xdr:to>
    <xdr:cxnSp macro="">
      <xdr:nvCxnSpPr>
        <xdr:cNvPr id="21" name="直線矢印コネクタ 20">
          <a:extLst>
            <a:ext uri="{FF2B5EF4-FFF2-40B4-BE49-F238E27FC236}">
              <a16:creationId xmlns:a16="http://schemas.microsoft.com/office/drawing/2014/main" id="{4DCFFCD4-FF39-4076-AC3B-2D4AF39E60DF}"/>
            </a:ext>
          </a:extLst>
        </xdr:cNvPr>
        <xdr:cNvCxnSpPr>
          <a:stCxn id="20" idx="3"/>
        </xdr:cNvCxnSpPr>
      </xdr:nvCxnSpPr>
      <xdr:spPr>
        <a:xfrm>
          <a:off x="6972300" y="13354050"/>
          <a:ext cx="1066801" cy="952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19050</xdr:colOff>
      <xdr:row>63</xdr:row>
      <xdr:rowOff>180975</xdr:rowOff>
    </xdr:from>
    <xdr:ext cx="8924925" cy="1009650"/>
    <xdr:sp macro="" textlink="">
      <xdr:nvSpPr>
        <xdr:cNvPr id="22" name="テキスト ボックス 21">
          <a:extLst>
            <a:ext uri="{FF2B5EF4-FFF2-40B4-BE49-F238E27FC236}">
              <a16:creationId xmlns:a16="http://schemas.microsoft.com/office/drawing/2014/main" id="{6C7FD5FB-18EA-4AB4-8552-E03F0E6A721C}"/>
            </a:ext>
          </a:extLst>
        </xdr:cNvPr>
        <xdr:cNvSpPr txBox="1"/>
      </xdr:nvSpPr>
      <xdr:spPr>
        <a:xfrm>
          <a:off x="19050" y="11163300"/>
          <a:ext cx="8924925" cy="1009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21</xdr:col>
      <xdr:colOff>19050</xdr:colOff>
      <xdr:row>70</xdr:row>
      <xdr:rowOff>19050</xdr:rowOff>
    </xdr:from>
    <xdr:ext cx="2247898" cy="354969"/>
    <xdr:sp macro="" textlink="">
      <xdr:nvSpPr>
        <xdr:cNvPr id="23" name="テキスト ボックス 22">
          <a:extLst>
            <a:ext uri="{FF2B5EF4-FFF2-40B4-BE49-F238E27FC236}">
              <a16:creationId xmlns:a16="http://schemas.microsoft.com/office/drawing/2014/main" id="{4048D51D-3E49-433C-ABE2-65952998B9EF}"/>
            </a:ext>
          </a:extLst>
        </xdr:cNvPr>
        <xdr:cNvSpPr txBox="1"/>
      </xdr:nvSpPr>
      <xdr:spPr>
        <a:xfrm>
          <a:off x="5819775" y="1200150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0</xdr:col>
      <xdr:colOff>28575</xdr:colOff>
      <xdr:row>51</xdr:row>
      <xdr:rowOff>9525</xdr:rowOff>
    </xdr:from>
    <xdr:ext cx="9039225" cy="1181100"/>
    <xdr:sp macro="" textlink="">
      <xdr:nvSpPr>
        <xdr:cNvPr id="24" name="テキスト ボックス 23">
          <a:extLst>
            <a:ext uri="{FF2B5EF4-FFF2-40B4-BE49-F238E27FC236}">
              <a16:creationId xmlns:a16="http://schemas.microsoft.com/office/drawing/2014/main" id="{7D4DC5B4-724F-493A-AABA-CCD8C2ED5421}"/>
            </a:ext>
          </a:extLst>
        </xdr:cNvPr>
        <xdr:cNvSpPr txBox="1"/>
      </xdr:nvSpPr>
      <xdr:spPr>
        <a:xfrm>
          <a:off x="28575" y="9591675"/>
          <a:ext cx="9039225" cy="11811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rtl="0" eaLnBrk="1" latinLnBrk="0" hangingPunct="1"/>
          <a:endParaRPr kumimoji="1" lang="ja-JP" altLang="en-US" sz="1050">
            <a:latin typeface="メイリオ" panose="020B0604030504040204" pitchFamily="50" charset="-128"/>
            <a:ea typeface="メイリオ" panose="020B0604030504040204" pitchFamily="50" charset="-128"/>
          </a:endParaRPr>
        </a:p>
      </xdr:txBody>
    </xdr:sp>
    <xdr:clientData/>
  </xdr:oneCellAnchor>
  <xdr:oneCellAnchor>
    <xdr:from>
      <xdr:col>20</xdr:col>
      <xdr:colOff>247650</xdr:colOff>
      <xdr:row>55</xdr:row>
      <xdr:rowOff>190500</xdr:rowOff>
    </xdr:from>
    <xdr:ext cx="2247898" cy="354969"/>
    <xdr:sp macro="" textlink="">
      <xdr:nvSpPr>
        <xdr:cNvPr id="25" name="テキスト ボックス 24">
          <a:extLst>
            <a:ext uri="{FF2B5EF4-FFF2-40B4-BE49-F238E27FC236}">
              <a16:creationId xmlns:a16="http://schemas.microsoft.com/office/drawing/2014/main" id="{4B8C36D7-6EFD-40C5-9C20-5D1F667177AA}"/>
            </a:ext>
          </a:extLst>
        </xdr:cNvPr>
        <xdr:cNvSpPr txBox="1"/>
      </xdr:nvSpPr>
      <xdr:spPr>
        <a:xfrm>
          <a:off x="5772150" y="10572750"/>
          <a:ext cx="2247898" cy="354969"/>
        </a:xfrm>
        <a:prstGeom prst="rect">
          <a:avLst/>
        </a:prstGeom>
        <a:solidFill>
          <a:srgbClr val="FFCCCC"/>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よく読んでから記入してください</a:t>
          </a:r>
        </a:p>
      </xdr:txBody>
    </xdr:sp>
    <xdr:clientData/>
  </xdr:oneCellAnchor>
  <xdr:oneCellAnchor>
    <xdr:from>
      <xdr:col>15</xdr:col>
      <xdr:colOff>133350</xdr:colOff>
      <xdr:row>46</xdr:row>
      <xdr:rowOff>0</xdr:rowOff>
    </xdr:from>
    <xdr:ext cx="2771775" cy="354969"/>
    <xdr:sp macro="" textlink="">
      <xdr:nvSpPr>
        <xdr:cNvPr id="26" name="テキスト ボックス 25">
          <a:extLst>
            <a:ext uri="{FF2B5EF4-FFF2-40B4-BE49-F238E27FC236}">
              <a16:creationId xmlns:a16="http://schemas.microsoft.com/office/drawing/2014/main" id="{AAB9F4F9-F022-48B1-BEEE-9F52C56DC09E}"/>
            </a:ext>
          </a:extLst>
        </xdr:cNvPr>
        <xdr:cNvSpPr txBox="1"/>
      </xdr:nvSpPr>
      <xdr:spPr>
        <a:xfrm>
          <a:off x="4276725" y="9182100"/>
          <a:ext cx="277177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対象職員以外のベア等実施分も含まれます</a:t>
          </a:r>
        </a:p>
      </xdr:txBody>
    </xdr:sp>
    <xdr:clientData/>
  </xdr:oneCellAnchor>
  <xdr:oneCellAnchor>
    <xdr:from>
      <xdr:col>18</xdr:col>
      <xdr:colOff>200025</xdr:colOff>
      <xdr:row>39</xdr:row>
      <xdr:rowOff>0</xdr:rowOff>
    </xdr:from>
    <xdr:ext cx="1971674" cy="354969"/>
    <xdr:sp macro="" textlink="">
      <xdr:nvSpPr>
        <xdr:cNvPr id="27" name="テキスト ボックス 26">
          <a:extLst>
            <a:ext uri="{FF2B5EF4-FFF2-40B4-BE49-F238E27FC236}">
              <a16:creationId xmlns:a16="http://schemas.microsoft.com/office/drawing/2014/main" id="{59315534-B52D-4D2C-AD6E-353ACE27A10D}"/>
            </a:ext>
          </a:extLst>
        </xdr:cNvPr>
        <xdr:cNvSpPr txBox="1"/>
      </xdr:nvSpPr>
      <xdr:spPr>
        <a:xfrm>
          <a:off x="5172075" y="7781925"/>
          <a:ext cx="1971674"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繰越がある場合には記載</a:t>
          </a:r>
        </a:p>
      </xdr:txBody>
    </xdr:sp>
    <xdr:clientData/>
  </xdr:oneCellAnchor>
  <xdr:oneCellAnchor>
    <xdr:from>
      <xdr:col>18</xdr:col>
      <xdr:colOff>19051</xdr:colOff>
      <xdr:row>29</xdr:row>
      <xdr:rowOff>57150</xdr:rowOff>
    </xdr:from>
    <xdr:ext cx="3905250" cy="354969"/>
    <xdr:sp macro="" textlink="">
      <xdr:nvSpPr>
        <xdr:cNvPr id="28" name="テキスト ボックス 27">
          <a:extLst>
            <a:ext uri="{FF2B5EF4-FFF2-40B4-BE49-F238E27FC236}">
              <a16:creationId xmlns:a16="http://schemas.microsoft.com/office/drawing/2014/main" id="{93143BA7-665B-4FC1-B429-2B564D928CC5}"/>
            </a:ext>
          </a:extLst>
        </xdr:cNvPr>
        <xdr:cNvSpPr txBox="1"/>
      </xdr:nvSpPr>
      <xdr:spPr>
        <a:xfrm>
          <a:off x="4991101" y="5838825"/>
          <a:ext cx="3905250" cy="354969"/>
        </a:xfrm>
        <a:prstGeom prst="rect">
          <a:avLst/>
        </a:prstGeom>
        <a:solidFill>
          <a:schemeClr val="accent6">
            <a:lumMod val="20000"/>
            <a:lumOff val="80000"/>
          </a:schemeClr>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（２）の月数と様式</a:t>
          </a:r>
          <a:r>
            <a:rPr kumimoji="1" lang="en-US" altLang="ja-JP" sz="1050">
              <a:latin typeface="メイリオ" panose="020B0604030504040204" pitchFamily="50" charset="-128"/>
              <a:ea typeface="メイリオ" panose="020B0604030504040204" pitchFamily="50" charset="-128"/>
            </a:rPr>
            <a:t>96</a:t>
          </a:r>
          <a:r>
            <a:rPr kumimoji="1" lang="ja-JP" altLang="en-US" sz="1050">
              <a:latin typeface="メイリオ" panose="020B0604030504040204" pitchFamily="50" charset="-128"/>
              <a:ea typeface="メイリオ" panose="020B0604030504040204" pitchFamily="50" charset="-128"/>
            </a:rPr>
            <a:t>シートの入力値により計算されます</a:t>
          </a:r>
        </a:p>
      </xdr:txBody>
    </xdr:sp>
    <xdr:clientData/>
  </xdr:oneCellAnchor>
  <xdr:twoCellAnchor>
    <xdr:from>
      <xdr:col>24</xdr:col>
      <xdr:colOff>1</xdr:colOff>
      <xdr:row>31</xdr:row>
      <xdr:rowOff>9525</xdr:rowOff>
    </xdr:from>
    <xdr:to>
      <xdr:col>26</xdr:col>
      <xdr:colOff>66676</xdr:colOff>
      <xdr:row>33</xdr:row>
      <xdr:rowOff>85725</xdr:rowOff>
    </xdr:to>
    <xdr:cxnSp macro="">
      <xdr:nvCxnSpPr>
        <xdr:cNvPr id="29" name="コネクタ: カギ線 28">
          <a:extLst>
            <a:ext uri="{FF2B5EF4-FFF2-40B4-BE49-F238E27FC236}">
              <a16:creationId xmlns:a16="http://schemas.microsoft.com/office/drawing/2014/main" id="{0657C166-839C-44A4-B4A3-F09D54ED7766}"/>
            </a:ext>
          </a:extLst>
        </xdr:cNvPr>
        <xdr:cNvCxnSpPr/>
      </xdr:nvCxnSpPr>
      <xdr:spPr>
        <a:xfrm>
          <a:off x="6629401" y="6191250"/>
          <a:ext cx="619125" cy="476250"/>
        </a:xfrm>
        <a:prstGeom prst="bentConnector3">
          <a:avLst>
            <a:gd name="adj1" fmla="val 50000"/>
          </a:avLst>
        </a:prstGeom>
        <a:ln>
          <a:solidFill>
            <a:schemeClr val="accent6"/>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oneCellAnchor>
    <xdr:from>
      <xdr:col>0</xdr:col>
      <xdr:colOff>47625</xdr:colOff>
      <xdr:row>148</xdr:row>
      <xdr:rowOff>571500</xdr:rowOff>
    </xdr:from>
    <xdr:ext cx="2524125" cy="354969"/>
    <xdr:sp macro="" textlink="">
      <xdr:nvSpPr>
        <xdr:cNvPr id="30" name="テキスト ボックス 29">
          <a:extLst>
            <a:ext uri="{FF2B5EF4-FFF2-40B4-BE49-F238E27FC236}">
              <a16:creationId xmlns:a16="http://schemas.microsoft.com/office/drawing/2014/main" id="{E8BCEAB1-B4DC-430B-AC8F-05BABE2E3D47}"/>
            </a:ext>
          </a:extLst>
        </xdr:cNvPr>
        <xdr:cNvSpPr txBox="1"/>
      </xdr:nvSpPr>
      <xdr:spPr>
        <a:xfrm>
          <a:off x="47625" y="18992850"/>
          <a:ext cx="2524125" cy="354969"/>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届出を行う日付と開設者名を入力</a:t>
          </a:r>
        </a:p>
      </xdr:txBody>
    </xdr:sp>
    <xdr:clientData/>
  </xdr:oneCellAnchor>
  <xdr:oneCellAnchor>
    <xdr:from>
      <xdr:col>23</xdr:col>
      <xdr:colOff>171450</xdr:colOff>
      <xdr:row>144</xdr:row>
      <xdr:rowOff>0</xdr:rowOff>
    </xdr:from>
    <xdr:ext cx="2419351" cy="617605"/>
    <xdr:sp macro="" textlink="">
      <xdr:nvSpPr>
        <xdr:cNvPr id="31" name="テキスト ボックス 30">
          <a:extLst>
            <a:ext uri="{FF2B5EF4-FFF2-40B4-BE49-F238E27FC236}">
              <a16:creationId xmlns:a16="http://schemas.microsoft.com/office/drawing/2014/main" id="{02C06D15-20F3-4D31-91A0-0A8ACEA3DDCD}"/>
            </a:ext>
          </a:extLst>
        </xdr:cNvPr>
        <xdr:cNvSpPr txBox="1"/>
      </xdr:nvSpPr>
      <xdr:spPr>
        <a:xfrm>
          <a:off x="6524625" y="17754600"/>
          <a:ext cx="2419351" cy="617605"/>
        </a:xfrm>
        <a:prstGeom prst="rect">
          <a:avLst/>
        </a:prstGeom>
        <a:solidFill>
          <a:schemeClr val="accent1">
            <a:lumMod val="20000"/>
            <a:lumOff val="8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50">
              <a:latin typeface="メイリオ" panose="020B0604030504040204" pitchFamily="50" charset="-128"/>
              <a:ea typeface="メイリオ" panose="020B0604030504040204" pitchFamily="50" charset="-128"/>
            </a:rPr>
            <a:t>賃金の引き上げを行う方法について選択または記載</a:t>
          </a:r>
        </a:p>
      </xdr:txBody>
    </xdr:sp>
    <xdr:clientData/>
  </xdr:oneCellAnchor>
  <xdr:twoCellAnchor>
    <xdr:from>
      <xdr:col>19</xdr:col>
      <xdr:colOff>171451</xdr:colOff>
      <xdr:row>144</xdr:row>
      <xdr:rowOff>133350</xdr:rowOff>
    </xdr:from>
    <xdr:to>
      <xdr:col>23</xdr:col>
      <xdr:colOff>171450</xdr:colOff>
      <xdr:row>145</xdr:row>
      <xdr:rowOff>108778</xdr:rowOff>
    </xdr:to>
    <xdr:cxnSp macro="">
      <xdr:nvCxnSpPr>
        <xdr:cNvPr id="32" name="直線矢印コネクタ 31">
          <a:extLst>
            <a:ext uri="{FF2B5EF4-FFF2-40B4-BE49-F238E27FC236}">
              <a16:creationId xmlns:a16="http://schemas.microsoft.com/office/drawing/2014/main" id="{76AA07B2-938D-4117-9A01-77ECF5F5D014}"/>
            </a:ext>
          </a:extLst>
        </xdr:cNvPr>
        <xdr:cNvCxnSpPr>
          <a:stCxn id="31" idx="1"/>
        </xdr:cNvCxnSpPr>
      </xdr:nvCxnSpPr>
      <xdr:spPr>
        <a:xfrm flipH="1" flipV="1">
          <a:off x="5419726" y="17887950"/>
          <a:ext cx="1104899" cy="1754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228601</xdr:colOff>
      <xdr:row>145</xdr:row>
      <xdr:rowOff>108778</xdr:rowOff>
    </xdr:from>
    <xdr:to>
      <xdr:col>23</xdr:col>
      <xdr:colOff>171450</xdr:colOff>
      <xdr:row>147</xdr:row>
      <xdr:rowOff>161925</xdr:rowOff>
    </xdr:to>
    <xdr:cxnSp macro="">
      <xdr:nvCxnSpPr>
        <xdr:cNvPr id="33" name="直線矢印コネクタ 32">
          <a:extLst>
            <a:ext uri="{FF2B5EF4-FFF2-40B4-BE49-F238E27FC236}">
              <a16:creationId xmlns:a16="http://schemas.microsoft.com/office/drawing/2014/main" id="{93B3645A-784B-4F70-8B49-FB0D61C817EC}"/>
            </a:ext>
          </a:extLst>
        </xdr:cNvPr>
        <xdr:cNvCxnSpPr>
          <a:stCxn id="31" idx="1"/>
        </xdr:cNvCxnSpPr>
      </xdr:nvCxnSpPr>
      <xdr:spPr>
        <a:xfrm flipH="1">
          <a:off x="5476876" y="18063403"/>
          <a:ext cx="1047749" cy="31032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別添2"/>
      <sheetName val="様式95_外来・在宅ベースアップ評価料（Ⅰ）"/>
      <sheetName val="様式96_外来・在宅ベースアップ評価料（Ⅱ）"/>
      <sheetName val="（参考）賃金引き上げ計画書作成のための計算シート"/>
      <sheetName val="様式97_入院ベースアップ評価料"/>
      <sheetName val="（別添）_計画書（無床診療所及びⅡを算定する有床診療所）"/>
      <sheetName val="様式98_賃金改善実績報告書（表紙）"/>
      <sheetName val="別添_計画書（病院及び有床診療所）"/>
      <sheetName val="（別添）_計画書（歯科診療所及びⅡを算定する有床診療所）"/>
      <sheetName val="（別添）_実績報告書（病院及び有床診療所）"/>
      <sheetName val="（別添）_実績報告書（無床診療所及びⅡを算定する有床診療所）"/>
      <sheetName val="（別添）_実績報告書（歯科診療所及びⅡを算定する有床診療所）"/>
      <sheetName val="医療機関集計用シート（横）"/>
      <sheetName val="リスト（入院）"/>
      <sheetName val="リスト（外来）"/>
    </sheetNames>
    <sheetDataSet>
      <sheetData sheetId="0"/>
      <sheetData sheetId="1"/>
      <sheetData sheetId="2"/>
      <sheetData sheetId="3"/>
      <sheetData sheetId="4"/>
      <sheetData sheetId="5"/>
      <sheetData sheetId="6"/>
      <sheetData sheetId="7"/>
      <sheetData sheetId="8">
        <row r="65">
          <cell r="AB65">
            <v>14990000</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T7" sqref="T7"/>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9" t="s">
        <v>2</v>
      </c>
      <c r="C6" s="539"/>
      <c r="D6" s="539"/>
      <c r="E6" s="541" t="s">
        <v>1775</v>
      </c>
      <c r="F6" s="542"/>
      <c r="G6" s="543"/>
      <c r="H6" s="213"/>
      <c r="I6" s="538" t="s">
        <v>3</v>
      </c>
      <c r="J6" s="538"/>
      <c r="K6" s="538"/>
      <c r="L6" s="213"/>
      <c r="M6" s="218"/>
    </row>
    <row r="7" spans="1:15" ht="22.5" customHeight="1">
      <c r="A7" s="219"/>
      <c r="B7" s="540" t="s">
        <v>4</v>
      </c>
      <c r="C7" s="540"/>
      <c r="D7" s="540"/>
      <c r="E7" s="544"/>
      <c r="F7" s="545"/>
      <c r="G7" s="546"/>
      <c r="H7" s="213"/>
      <c r="I7" s="538"/>
      <c r="J7" s="538"/>
      <c r="K7" s="538"/>
      <c r="L7" s="213"/>
      <c r="M7" s="218"/>
    </row>
    <row r="8" spans="1:15" ht="11.25" customHeight="1">
      <c r="A8" s="220"/>
      <c r="B8" s="221"/>
      <c r="C8" s="221"/>
      <c r="D8" s="221"/>
      <c r="E8" s="180"/>
      <c r="F8" s="180"/>
      <c r="G8" s="180"/>
      <c r="H8" s="180"/>
      <c r="I8" s="180"/>
      <c r="J8" s="180"/>
      <c r="K8" s="180"/>
      <c r="L8" s="180"/>
      <c r="M8" s="222"/>
    </row>
    <row r="9" spans="1:15" ht="22.5" customHeight="1">
      <c r="A9" s="220"/>
      <c r="B9" s="532" t="s">
        <v>5</v>
      </c>
      <c r="C9" s="532"/>
      <c r="D9" s="532"/>
      <c r="E9" s="180"/>
      <c r="F9" s="180"/>
      <c r="G9" s="180"/>
      <c r="H9" s="180"/>
      <c r="I9" s="180"/>
      <c r="J9" s="180"/>
      <c r="K9" s="180"/>
      <c r="L9" s="180"/>
      <c r="M9" s="222"/>
    </row>
    <row r="10" spans="1:15" ht="22.5" customHeight="1">
      <c r="A10" s="220"/>
      <c r="B10" s="535" t="s">
        <v>6</v>
      </c>
      <c r="C10" s="535"/>
      <c r="D10" s="535"/>
      <c r="E10" s="536" t="s">
        <v>1776</v>
      </c>
      <c r="F10" s="536"/>
      <c r="G10" s="536"/>
      <c r="H10" s="536"/>
      <c r="I10" s="180"/>
      <c r="J10" s="180"/>
      <c r="K10" s="180"/>
      <c r="L10" s="180"/>
      <c r="M10" s="222"/>
    </row>
    <row r="11" spans="1:15" ht="22.5" customHeight="1">
      <c r="A11" s="220"/>
      <c r="B11" s="535" t="s">
        <v>7</v>
      </c>
      <c r="C11" s="535"/>
      <c r="D11" s="535"/>
      <c r="E11" s="536" t="s">
        <v>1777</v>
      </c>
      <c r="F11" s="536"/>
      <c r="G11" s="536"/>
      <c r="H11" s="536"/>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7" t="s">
        <v>1778</v>
      </c>
      <c r="D14" s="537"/>
      <c r="E14" s="537"/>
      <c r="F14" s="537"/>
      <c r="G14" s="537"/>
      <c r="H14" s="537"/>
      <c r="I14" s="537"/>
      <c r="J14" s="405"/>
      <c r="K14" s="405"/>
      <c r="L14" s="245"/>
      <c r="M14" s="223"/>
    </row>
    <row r="15" spans="1:15" ht="33.75" customHeight="1">
      <c r="A15" s="217"/>
      <c r="B15" s="234"/>
      <c r="C15" s="531" t="s">
        <v>1783</v>
      </c>
      <c r="D15" s="531"/>
      <c r="E15" s="531"/>
      <c r="F15" s="531"/>
      <c r="G15" s="531"/>
      <c r="H15" s="531"/>
      <c r="I15" s="531"/>
      <c r="J15" s="524" t="s">
        <v>9</v>
      </c>
      <c r="K15" s="524"/>
      <c r="L15" s="525"/>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
      </c>
      <c r="L17" s="245"/>
      <c r="M17" s="223"/>
      <c r="O17" s="251">
        <f>COUNTIF(O18:O21,"TRUE")</f>
        <v>4</v>
      </c>
    </row>
    <row r="18" spans="1:15" ht="36.75" customHeight="1">
      <c r="A18" s="217"/>
      <c r="B18" s="246"/>
      <c r="C18" s="533" t="s">
        <v>10</v>
      </c>
      <c r="D18" s="533"/>
      <c r="E18" s="533"/>
      <c r="F18" s="533"/>
      <c r="G18" s="533"/>
      <c r="H18" s="533"/>
      <c r="I18" s="533"/>
      <c r="J18" s="533"/>
      <c r="K18" s="533"/>
      <c r="L18" s="534"/>
      <c r="M18" s="240"/>
      <c r="O18" s="251" t="b">
        <v>1</v>
      </c>
    </row>
    <row r="19" spans="1:15" ht="36.75" customHeight="1">
      <c r="A19" s="217"/>
      <c r="B19" s="246"/>
      <c r="C19" s="533" t="s">
        <v>11</v>
      </c>
      <c r="D19" s="533"/>
      <c r="E19" s="533"/>
      <c r="F19" s="533"/>
      <c r="G19" s="533"/>
      <c r="H19" s="533"/>
      <c r="I19" s="533"/>
      <c r="J19" s="533"/>
      <c r="K19" s="533"/>
      <c r="L19" s="534"/>
      <c r="M19" s="240"/>
      <c r="O19" s="251" t="b">
        <v>1</v>
      </c>
    </row>
    <row r="20" spans="1:15" ht="36.75" customHeight="1">
      <c r="A20" s="217"/>
      <c r="B20" s="246"/>
      <c r="C20" s="533" t="s">
        <v>12</v>
      </c>
      <c r="D20" s="533"/>
      <c r="E20" s="533"/>
      <c r="F20" s="533"/>
      <c r="G20" s="533"/>
      <c r="H20" s="533"/>
      <c r="I20" s="533"/>
      <c r="J20" s="533"/>
      <c r="K20" s="533"/>
      <c r="L20" s="534"/>
      <c r="M20" s="240"/>
      <c r="O20" s="251" t="b">
        <v>1</v>
      </c>
    </row>
    <row r="21" spans="1:15" ht="36.75" customHeight="1">
      <c r="A21" s="217"/>
      <c r="B21" s="246"/>
      <c r="C21" s="533" t="s">
        <v>13</v>
      </c>
      <c r="D21" s="533"/>
      <c r="E21" s="533"/>
      <c r="F21" s="533"/>
      <c r="G21" s="533"/>
      <c r="H21" s="533"/>
      <c r="I21" s="533"/>
      <c r="J21" s="533"/>
      <c r="K21" s="533"/>
      <c r="L21" s="534"/>
      <c r="M21" s="240"/>
      <c r="O21" s="251" t="b">
        <v>1</v>
      </c>
    </row>
    <row r="22" spans="1:15" ht="15" customHeight="1">
      <c r="A22" s="217"/>
      <c r="B22" s="234"/>
      <c r="D22" s="526"/>
      <c r="E22" s="526"/>
      <c r="F22" s="526"/>
      <c r="G22" s="526"/>
      <c r="H22" s="526"/>
      <c r="I22" s="526"/>
      <c r="J22" s="526"/>
      <c r="K22" s="526"/>
      <c r="L22" s="527"/>
      <c r="M22" s="223"/>
    </row>
    <row r="23" spans="1:15" ht="22.5" customHeight="1">
      <c r="A23" s="217"/>
      <c r="B23" s="528" t="s">
        <v>14</v>
      </c>
      <c r="C23" s="529"/>
      <c r="D23" s="529"/>
      <c r="E23" s="529"/>
      <c r="F23" s="529"/>
      <c r="G23" s="529"/>
      <c r="H23" s="529"/>
      <c r="I23" s="529"/>
      <c r="J23" s="529"/>
      <c r="K23" s="529"/>
      <c r="L23" s="530"/>
      <c r="M23" s="241"/>
    </row>
    <row r="24" spans="1:15" ht="15" customHeight="1">
      <c r="A24" s="217"/>
      <c r="B24" s="234"/>
      <c r="L24" s="245"/>
      <c r="M24" s="223"/>
    </row>
    <row r="25" spans="1:15" ht="22.5" customHeight="1">
      <c r="A25" s="217"/>
      <c r="B25" s="235" t="s">
        <v>15</v>
      </c>
      <c r="C25" s="247">
        <v>6</v>
      </c>
      <c r="D25" s="224" t="s">
        <v>16</v>
      </c>
      <c r="E25" s="247">
        <v>9</v>
      </c>
      <c r="F25" s="224" t="s">
        <v>17</v>
      </c>
      <c r="G25" s="247">
        <v>30</v>
      </c>
      <c r="H25" s="224" t="s">
        <v>18</v>
      </c>
      <c r="L25" s="245"/>
      <c r="M25" s="223"/>
    </row>
    <row r="26" spans="1:15" ht="15" customHeight="1">
      <c r="A26" s="217"/>
      <c r="B26" s="234"/>
      <c r="L26" s="245"/>
      <c r="M26" s="223"/>
    </row>
    <row r="27" spans="1:15" ht="22.5" customHeight="1">
      <c r="A27" s="217"/>
      <c r="B27" s="234"/>
      <c r="C27" s="225" t="s">
        <v>19</v>
      </c>
      <c r="H27" s="523" t="s">
        <v>1779</v>
      </c>
      <c r="I27" s="523"/>
      <c r="J27" s="523"/>
      <c r="K27" s="523"/>
      <c r="L27" s="245"/>
      <c r="M27" s="223"/>
    </row>
    <row r="28" spans="1:15" ht="22.5" customHeight="1">
      <c r="A28" s="217"/>
      <c r="B28" s="234"/>
      <c r="C28" s="225" t="s">
        <v>20</v>
      </c>
      <c r="H28" s="523" t="s">
        <v>1784</v>
      </c>
      <c r="I28" s="523"/>
      <c r="J28" s="523"/>
      <c r="K28" s="523"/>
      <c r="L28" s="245"/>
      <c r="M28" s="223"/>
    </row>
    <row r="29" spans="1:15" ht="15" customHeight="1">
      <c r="A29" s="217"/>
      <c r="B29" s="234"/>
      <c r="L29" s="245"/>
      <c r="M29" s="223"/>
    </row>
    <row r="30" spans="1:15" ht="22.5" customHeight="1">
      <c r="A30" s="217"/>
      <c r="B30" s="234"/>
      <c r="G30" s="179" t="s">
        <v>21</v>
      </c>
      <c r="I30" s="521" t="s">
        <v>1776</v>
      </c>
      <c r="J30" s="521"/>
      <c r="K30" s="521"/>
      <c r="L30" s="245"/>
      <c r="M30" s="223"/>
    </row>
    <row r="31" spans="1:15" ht="15" customHeight="1">
      <c r="A31" s="217"/>
      <c r="B31" s="234"/>
      <c r="L31" s="245"/>
      <c r="M31" s="223"/>
    </row>
    <row r="32" spans="1:15" ht="22.5" customHeight="1">
      <c r="A32" s="217"/>
      <c r="B32" s="522" t="s">
        <v>1780</v>
      </c>
      <c r="C32" s="521"/>
      <c r="D32" s="521"/>
      <c r="E32" s="521"/>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SFNOOCvtGWHnKcv8zGvAsAdH2Gv6Nrj1F2oJIhhIwYo+AbsRw0Y2fVXjD27wfiW/dFk+xTAfp3HP/2aBIXZWyQ==" saltValue="GcqNuRRIhnuBXqiyvr798Q=="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topLeftCell="A16" zoomScaleNormal="100" zoomScaleSheetLayoutView="100" workbookViewId="0">
      <selection activeCell="F19" sqref="F19:L19"/>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8" t="s">
        <v>27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row>
    <row r="4" spans="1:37" ht="30" customHeight="1">
      <c r="A4" s="114"/>
      <c r="B4" s="114"/>
      <c r="C4" s="114"/>
      <c r="D4" s="114"/>
      <c r="E4" s="114"/>
      <c r="G4" s="114"/>
      <c r="H4" s="114"/>
      <c r="I4" s="114"/>
    </row>
    <row r="5" spans="1:37" ht="30" customHeight="1">
      <c r="A5" s="35" t="s">
        <v>28</v>
      </c>
      <c r="B5" s="549" t="s">
        <v>29</v>
      </c>
      <c r="C5" s="549"/>
      <c r="D5" s="549"/>
      <c r="E5" s="549"/>
      <c r="F5" s="549"/>
      <c r="G5" s="549"/>
      <c r="H5" s="550" t="str">
        <f>IF(別添2!E6="","",別添2!E6)</f>
        <v>1234567</v>
      </c>
      <c r="I5" s="550"/>
      <c r="J5" s="550"/>
      <c r="K5" s="550"/>
      <c r="L5" s="550"/>
      <c r="M5" s="550"/>
      <c r="N5" s="550"/>
      <c r="O5" s="550"/>
      <c r="P5" s="550"/>
      <c r="Q5" s="550"/>
      <c r="R5" s="550"/>
      <c r="S5" s="550"/>
      <c r="T5" s="550"/>
    </row>
    <row r="6" spans="1:37" ht="30" customHeight="1">
      <c r="B6" s="549" t="s">
        <v>30</v>
      </c>
      <c r="C6" s="549"/>
      <c r="D6" s="549"/>
      <c r="E6" s="549"/>
      <c r="F6" s="549"/>
      <c r="G6" s="549"/>
      <c r="H6" s="551" t="str">
        <f>IF(別添2!H28="","",別添2!H28)</f>
        <v>●●病院</v>
      </c>
      <c r="I6" s="551"/>
      <c r="J6" s="551"/>
      <c r="K6" s="551"/>
      <c r="L6" s="551"/>
      <c r="M6" s="551"/>
      <c r="N6" s="551"/>
      <c r="O6" s="551"/>
      <c r="P6" s="551"/>
      <c r="Q6" s="551"/>
      <c r="R6" s="551"/>
      <c r="S6" s="551"/>
      <c r="T6" s="551"/>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1</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1</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7">
        <v>50</v>
      </c>
      <c r="G19" s="547"/>
      <c r="H19" s="547"/>
      <c r="I19" s="547"/>
      <c r="J19" s="547"/>
      <c r="K19" s="547"/>
      <c r="L19" s="547"/>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Kf+1MrlgLPtJGZ1rkhmlq4ZRtISeAUBU7EIeJmx9X37X7UBWaoAL6PQ3ttxNjMai6gWD4Kto13C5LkSwbZO0UQ==" saltValue="yMyVzou2L7ieQM2ElEWN8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201"/>
  <sheetViews>
    <sheetView showGridLines="0" view="pageBreakPreview" topLeftCell="A59" zoomScaleNormal="100" zoomScaleSheetLayoutView="100" workbookViewId="0">
      <selection activeCell="AV69" sqref="AV69"/>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2" t="s">
        <v>55</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row>
    <row r="4" spans="1:39" ht="15" customHeight="1">
      <c r="A4" s="114"/>
      <c r="B4" s="114"/>
      <c r="C4" s="114"/>
      <c r="D4" s="114"/>
      <c r="E4" s="114"/>
      <c r="G4" s="114"/>
      <c r="H4" s="114"/>
      <c r="I4" s="114"/>
    </row>
    <row r="5" spans="1:39" ht="24.95" customHeight="1">
      <c r="A5" s="35" t="s">
        <v>28</v>
      </c>
      <c r="B5" s="549" t="s">
        <v>29</v>
      </c>
      <c r="C5" s="549"/>
      <c r="D5" s="549"/>
      <c r="E5" s="549"/>
      <c r="F5" s="549"/>
      <c r="G5" s="549"/>
      <c r="H5" s="553" t="str">
        <f>IF('様式95_外来・在宅ベースアップ評価料（Ⅰ）'!H5=0,"",'様式95_外来・在宅ベースアップ評価料（Ⅰ）'!H5)</f>
        <v>1234567</v>
      </c>
      <c r="I5" s="553"/>
      <c r="J5" s="553"/>
      <c r="K5" s="553"/>
      <c r="L5" s="553"/>
      <c r="M5" s="553"/>
      <c r="N5" s="553"/>
      <c r="O5" s="553"/>
      <c r="P5" s="553"/>
      <c r="Q5" s="553"/>
      <c r="R5" s="553"/>
      <c r="S5" s="553"/>
      <c r="T5" s="553"/>
    </row>
    <row r="6" spans="1:39" ht="24.95" customHeight="1">
      <c r="B6" s="549" t="s">
        <v>30</v>
      </c>
      <c r="C6" s="549"/>
      <c r="D6" s="549"/>
      <c r="E6" s="549"/>
      <c r="F6" s="549"/>
      <c r="G6" s="549"/>
      <c r="H6" s="554" t="str">
        <f>'様式95_外来・在宅ベースアップ評価料（Ⅰ）'!H6</f>
        <v>●●病院</v>
      </c>
      <c r="I6" s="554"/>
      <c r="J6" s="554"/>
      <c r="K6" s="554"/>
      <c r="L6" s="554"/>
      <c r="M6" s="554"/>
      <c r="N6" s="554"/>
      <c r="O6" s="554"/>
      <c r="P6" s="554"/>
      <c r="Q6" s="554"/>
      <c r="R6" s="554"/>
      <c r="S6" s="554"/>
      <c r="T6" s="554"/>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0"/>
      <c r="K15" s="559"/>
      <c r="L15" s="560" t="s">
        <v>61</v>
      </c>
      <c r="M15" s="560"/>
      <c r="N15" s="559"/>
      <c r="O15" s="560" t="s">
        <v>62</v>
      </c>
      <c r="P15" s="560"/>
      <c r="Q15" s="559"/>
      <c r="R15" s="560" t="s">
        <v>63</v>
      </c>
      <c r="S15" s="560"/>
      <c r="T15" s="559"/>
      <c r="U15" s="560" t="s">
        <v>64</v>
      </c>
      <c r="V15" s="560"/>
      <c r="W15" s="560"/>
      <c r="AK15" s="170">
        <v>3</v>
      </c>
    </row>
    <row r="16" spans="1:39" ht="24.95" customHeight="1">
      <c r="A16" s="35"/>
      <c r="B16" s="114"/>
      <c r="C16" s="114"/>
      <c r="D16" s="114"/>
      <c r="E16" s="114"/>
      <c r="F16" s="169"/>
      <c r="G16" s="113" t="s">
        <v>65</v>
      </c>
      <c r="H16" s="114"/>
      <c r="I16" s="114"/>
      <c r="J16" s="560"/>
      <c r="K16" s="559"/>
      <c r="L16" s="560"/>
      <c r="M16" s="560"/>
      <c r="N16" s="559"/>
      <c r="O16" s="560"/>
      <c r="P16" s="560"/>
      <c r="Q16" s="559"/>
      <c r="R16" s="560"/>
      <c r="S16" s="560"/>
      <c r="T16" s="559"/>
      <c r="U16" s="560"/>
      <c r="V16" s="560"/>
      <c r="W16" s="560"/>
      <c r="X16" s="113"/>
      <c r="Y16" s="113"/>
      <c r="AK16" s="171" t="b">
        <v>1</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70" t="s">
        <v>69</v>
      </c>
      <c r="I20" s="571"/>
      <c r="J20" s="571"/>
      <c r="K20" s="572"/>
      <c r="L20" s="573" t="s">
        <v>70</v>
      </c>
      <c r="M20" s="573"/>
      <c r="N20" s="573"/>
      <c r="O20" s="573"/>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70" t="s">
        <v>71</v>
      </c>
      <c r="I21" s="571"/>
      <c r="J21" s="571"/>
      <c r="K21" s="572"/>
      <c r="L21" s="574" t="s">
        <v>71</v>
      </c>
      <c r="M21" s="568"/>
      <c r="N21" s="568"/>
      <c r="O21" s="575"/>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70" t="s">
        <v>72</v>
      </c>
      <c r="I22" s="571"/>
      <c r="J22" s="571"/>
      <c r="K22" s="572"/>
      <c r="L22" s="576"/>
      <c r="M22" s="565"/>
      <c r="N22" s="565"/>
      <c r="O22" s="577"/>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70" t="s">
        <v>73</v>
      </c>
      <c r="I23" s="571"/>
      <c r="J23" s="571"/>
      <c r="K23" s="572"/>
      <c r="L23" s="578"/>
      <c r="M23" s="567"/>
      <c r="N23" s="567"/>
      <c r="O23" s="579"/>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70" t="s">
        <v>74</v>
      </c>
      <c r="I24" s="571"/>
      <c r="J24" s="571"/>
      <c r="K24" s="572"/>
      <c r="L24" s="574" t="s">
        <v>74</v>
      </c>
      <c r="M24" s="568"/>
      <c r="N24" s="568"/>
      <c r="O24" s="575"/>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70" t="s">
        <v>75</v>
      </c>
      <c r="I25" s="571"/>
      <c r="J25" s="571"/>
      <c r="K25" s="572"/>
      <c r="L25" s="576"/>
      <c r="M25" s="565"/>
      <c r="N25" s="565"/>
      <c r="O25" s="577"/>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70" t="s">
        <v>76</v>
      </c>
      <c r="I26" s="571"/>
      <c r="J26" s="571"/>
      <c r="K26" s="572"/>
      <c r="L26" s="578"/>
      <c r="M26" s="567"/>
      <c r="N26" s="567"/>
      <c r="O26" s="579"/>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70" t="s">
        <v>77</v>
      </c>
      <c r="I27" s="571"/>
      <c r="J27" s="571"/>
      <c r="K27" s="572"/>
      <c r="L27" s="574" t="s">
        <v>77</v>
      </c>
      <c r="M27" s="568"/>
      <c r="N27" s="568"/>
      <c r="O27" s="575"/>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70" t="s">
        <v>78</v>
      </c>
      <c r="I28" s="571"/>
      <c r="J28" s="571"/>
      <c r="K28" s="572"/>
      <c r="L28" s="576"/>
      <c r="M28" s="565"/>
      <c r="N28" s="565"/>
      <c r="O28" s="577"/>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70" t="s">
        <v>79</v>
      </c>
      <c r="I29" s="571"/>
      <c r="J29" s="571"/>
      <c r="K29" s="572"/>
      <c r="L29" s="578"/>
      <c r="M29" s="567"/>
      <c r="N29" s="567"/>
      <c r="O29" s="579"/>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70" t="s">
        <v>80</v>
      </c>
      <c r="I30" s="571"/>
      <c r="J30" s="571"/>
      <c r="K30" s="572"/>
      <c r="L30" s="574" t="s">
        <v>80</v>
      </c>
      <c r="M30" s="568"/>
      <c r="N30" s="568"/>
      <c r="O30" s="575"/>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70" t="s">
        <v>81</v>
      </c>
      <c r="I31" s="571"/>
      <c r="J31" s="571"/>
      <c r="K31" s="572"/>
      <c r="L31" s="576"/>
      <c r="M31" s="565"/>
      <c r="N31" s="565"/>
      <c r="O31" s="577"/>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70" t="s">
        <v>82</v>
      </c>
      <c r="I32" s="571"/>
      <c r="J32" s="571"/>
      <c r="K32" s="572"/>
      <c r="L32" s="578"/>
      <c r="M32" s="567"/>
      <c r="N32" s="567"/>
      <c r="O32" s="579"/>
      <c r="P32" s="113"/>
      <c r="Q32" s="114"/>
      <c r="R32" s="113"/>
      <c r="S32" s="113"/>
      <c r="T32" s="34"/>
      <c r="U32" s="113"/>
      <c r="V32" s="113"/>
      <c r="W32" s="34"/>
      <c r="X32" s="113"/>
      <c r="Y32" s="113"/>
      <c r="Z32" s="34"/>
      <c r="AA32" s="34"/>
      <c r="AB32" s="34"/>
      <c r="AC32" s="34"/>
      <c r="AD32" s="34"/>
      <c r="AE32" s="34"/>
      <c r="AK32" s="171"/>
    </row>
    <row r="33" spans="1:37" ht="24.95" customHeight="1">
      <c r="A33" s="35" t="s">
        <v>39</v>
      </c>
      <c r="B33" s="113" t="s">
        <v>83</v>
      </c>
      <c r="D33" s="114"/>
      <c r="E33" s="114"/>
      <c r="H33" s="114"/>
      <c r="I33" s="114"/>
      <c r="R33" s="114"/>
      <c r="S33" s="114"/>
    </row>
    <row r="34" spans="1:37" ht="24.95" customHeight="1">
      <c r="A34" s="35"/>
      <c r="B34" s="113"/>
      <c r="D34" s="114"/>
      <c r="E34" s="114"/>
      <c r="H34" s="114"/>
      <c r="I34" s="114"/>
      <c r="J34" s="547">
        <v>3.5</v>
      </c>
      <c r="K34" s="547"/>
      <c r="L34" s="547"/>
      <c r="M34" s="547"/>
      <c r="N34" s="547"/>
      <c r="O34" s="547"/>
      <c r="P34" s="547"/>
      <c r="Q34" s="114" t="s">
        <v>41</v>
      </c>
      <c r="R34" s="114"/>
      <c r="S34" s="114"/>
      <c r="AK34" s="170">
        <f>IF(AK36=TRUE,1,IF(J34&gt;=2,1,0))</f>
        <v>1</v>
      </c>
    </row>
    <row r="35" spans="1:37">
      <c r="A35" s="35"/>
      <c r="B35" s="113" t="s">
        <v>84</v>
      </c>
      <c r="D35" s="114"/>
      <c r="E35" s="114"/>
      <c r="H35" s="114"/>
      <c r="I35" s="114"/>
      <c r="J35" s="114"/>
      <c r="K35" s="114"/>
      <c r="L35" s="114"/>
      <c r="M35" s="114"/>
      <c r="N35" s="114"/>
      <c r="O35" s="114"/>
      <c r="P35" s="114"/>
      <c r="Q35" s="114"/>
      <c r="R35" s="114"/>
      <c r="S35" s="114"/>
    </row>
    <row r="36" spans="1:37" ht="24.95" customHeight="1">
      <c r="A36" s="35"/>
      <c r="B36" s="113" t="s">
        <v>85</v>
      </c>
      <c r="D36" s="114"/>
      <c r="E36" s="114"/>
      <c r="H36" s="114"/>
      <c r="I36" s="114"/>
      <c r="J36" s="114"/>
      <c r="K36" s="114"/>
      <c r="L36" s="114"/>
      <c r="M36" s="114"/>
      <c r="N36" s="114"/>
      <c r="O36" s="114"/>
      <c r="P36" s="114"/>
      <c r="Q36" s="114"/>
      <c r="R36" s="114"/>
      <c r="S36" s="114"/>
      <c r="AE36" s="169"/>
      <c r="AK36" s="170" t="b">
        <v>0</v>
      </c>
    </row>
    <row r="37" spans="1:37" ht="24.95" customHeight="1">
      <c r="A37" s="35"/>
      <c r="C37" s="41" t="s">
        <v>86</v>
      </c>
      <c r="E37" s="114"/>
      <c r="H37" s="114"/>
      <c r="I37" s="114"/>
      <c r="J37" s="114"/>
      <c r="K37" s="114"/>
      <c r="L37" s="114"/>
      <c r="M37" s="114"/>
      <c r="N37" s="114"/>
      <c r="O37" s="114"/>
      <c r="P37" s="114"/>
      <c r="Q37" s="114"/>
      <c r="R37" s="114"/>
      <c r="S37" s="114"/>
      <c r="AK37" s="170">
        <f>IF(AK38=TRUE,1,0)</f>
        <v>1</v>
      </c>
    </row>
    <row r="38" spans="1:37" ht="24.75" customHeight="1">
      <c r="A38" s="35" t="s">
        <v>87</v>
      </c>
      <c r="B38" s="113" t="s">
        <v>88</v>
      </c>
      <c r="D38" s="114"/>
      <c r="E38" s="114"/>
      <c r="H38" s="114"/>
      <c r="I38" s="114"/>
      <c r="J38" s="114"/>
      <c r="K38" s="114"/>
      <c r="L38" s="114"/>
      <c r="M38" s="114"/>
      <c r="N38" s="114"/>
      <c r="O38" s="114"/>
      <c r="P38" s="114"/>
      <c r="Q38" s="114"/>
      <c r="R38" s="114"/>
      <c r="S38" s="114"/>
      <c r="AE38" s="169"/>
      <c r="AK38" s="170" t="b">
        <v>1</v>
      </c>
    </row>
    <row r="39" spans="1:37" ht="24.75" customHeight="1">
      <c r="A39" s="35"/>
      <c r="B39" s="41"/>
      <c r="C39" s="41" t="s">
        <v>89</v>
      </c>
      <c r="D39" s="114"/>
      <c r="E39" s="114"/>
      <c r="H39" s="114"/>
      <c r="I39" s="114"/>
      <c r="J39" s="114"/>
      <c r="K39" s="114"/>
      <c r="L39" s="114"/>
      <c r="M39" s="114"/>
      <c r="N39" s="114"/>
      <c r="O39" s="114"/>
      <c r="P39" s="114"/>
      <c r="Q39" s="114"/>
      <c r="R39" s="114"/>
      <c r="S39" s="114"/>
    </row>
    <row r="40" spans="1:37" ht="24.75" customHeight="1">
      <c r="A40" s="35"/>
      <c r="B40" s="41"/>
      <c r="C40" s="41"/>
      <c r="D40" s="520"/>
      <c r="E40" s="520"/>
      <c r="F40" s="519"/>
      <c r="H40" s="520"/>
      <c r="I40" s="520"/>
      <c r="J40" s="520"/>
      <c r="K40" s="520"/>
      <c r="L40" s="520"/>
      <c r="M40" s="520"/>
      <c r="N40" s="520"/>
      <c r="O40" s="520"/>
      <c r="P40" s="520"/>
      <c r="Q40" s="520"/>
      <c r="R40" s="520"/>
      <c r="S40" s="520"/>
    </row>
    <row r="41" spans="1:37" ht="24.75" customHeight="1">
      <c r="A41" s="35"/>
      <c r="B41" s="41"/>
      <c r="C41" s="41"/>
      <c r="D41" s="520"/>
      <c r="E41" s="520"/>
      <c r="F41" s="519"/>
      <c r="H41" s="520"/>
      <c r="I41" s="520"/>
      <c r="J41" s="520"/>
      <c r="K41" s="520"/>
      <c r="L41" s="520"/>
      <c r="M41" s="520"/>
      <c r="N41" s="520"/>
      <c r="O41" s="520"/>
      <c r="P41" s="520"/>
      <c r="Q41" s="520"/>
      <c r="R41" s="520"/>
      <c r="S41" s="520"/>
    </row>
    <row r="42" spans="1:37" ht="24.75" customHeight="1">
      <c r="A42" s="35"/>
      <c r="B42" s="41"/>
      <c r="C42" s="41"/>
      <c r="D42" s="520"/>
      <c r="E42" s="520"/>
      <c r="F42" s="519"/>
      <c r="H42" s="520"/>
      <c r="I42" s="520"/>
      <c r="J42" s="520"/>
      <c r="K42" s="520"/>
      <c r="L42" s="520"/>
      <c r="M42" s="520"/>
      <c r="N42" s="520"/>
      <c r="O42" s="520"/>
      <c r="P42" s="520"/>
      <c r="Q42" s="520"/>
      <c r="R42" s="520"/>
      <c r="S42" s="520"/>
    </row>
    <row r="43" spans="1:37" ht="24.75" customHeight="1">
      <c r="A43" s="35"/>
      <c r="B43" s="41"/>
      <c r="C43" s="41"/>
      <c r="D43" s="520"/>
      <c r="E43" s="520"/>
      <c r="F43" s="519"/>
      <c r="H43" s="520"/>
      <c r="I43" s="520"/>
      <c r="J43" s="520"/>
      <c r="K43" s="520"/>
      <c r="L43" s="520"/>
      <c r="M43" s="520"/>
      <c r="N43" s="520"/>
      <c r="O43" s="520"/>
      <c r="P43" s="520"/>
      <c r="Q43" s="520"/>
      <c r="R43" s="520"/>
      <c r="S43" s="520"/>
    </row>
    <row r="44" spans="1:37" ht="24.75" customHeight="1">
      <c r="A44" s="35"/>
      <c r="B44" s="41"/>
      <c r="C44" s="41"/>
      <c r="D44" s="520"/>
      <c r="E44" s="520"/>
      <c r="F44" s="519"/>
      <c r="H44" s="520"/>
      <c r="I44" s="520"/>
      <c r="J44" s="520"/>
      <c r="K44" s="520"/>
      <c r="L44" s="520"/>
      <c r="M44" s="520"/>
      <c r="N44" s="520"/>
      <c r="O44" s="520"/>
      <c r="P44" s="520"/>
      <c r="Q44" s="520"/>
      <c r="R44" s="520"/>
      <c r="S44" s="520"/>
    </row>
    <row r="45" spans="1:37" ht="24.95" customHeight="1">
      <c r="A45" s="35" t="s">
        <v>90</v>
      </c>
      <c r="B45" s="44" t="s">
        <v>91</v>
      </c>
      <c r="E45" s="114"/>
      <c r="G45" s="114"/>
      <c r="H45" s="114"/>
      <c r="I45" s="114"/>
      <c r="J45" s="114"/>
      <c r="K45" s="114"/>
      <c r="L45" s="157"/>
      <c r="M45" s="114"/>
      <c r="N45" s="114"/>
      <c r="O45" s="114"/>
      <c r="P45" s="114"/>
      <c r="Q45" s="114"/>
      <c r="R45" s="114"/>
      <c r="S45" s="114"/>
    </row>
    <row r="46" spans="1:37" ht="24.95" customHeight="1">
      <c r="A46" s="35"/>
      <c r="B46" s="34" t="s">
        <v>92</v>
      </c>
      <c r="E46" s="114"/>
      <c r="G46" s="114"/>
      <c r="H46" s="114"/>
      <c r="I46" s="114"/>
      <c r="J46" s="114"/>
      <c r="K46" s="114"/>
      <c r="L46" s="157"/>
      <c r="M46" s="114"/>
      <c r="N46" s="114"/>
      <c r="O46" s="114"/>
      <c r="P46" s="114"/>
      <c r="Q46" s="114"/>
      <c r="R46" s="114"/>
      <c r="S46" s="114"/>
    </row>
    <row r="47" spans="1:37" ht="24.95" customHeight="1">
      <c r="A47" s="35"/>
      <c r="B47" s="34" t="s">
        <v>93</v>
      </c>
      <c r="E47" s="114"/>
      <c r="G47" s="114"/>
      <c r="H47" s="114"/>
      <c r="I47" s="114"/>
      <c r="J47" s="114"/>
      <c r="K47" s="114"/>
      <c r="L47" s="114"/>
      <c r="M47" s="114"/>
      <c r="N47" s="114"/>
      <c r="O47" s="114"/>
      <c r="P47" s="114"/>
      <c r="Q47" s="114"/>
      <c r="R47" s="114"/>
      <c r="S47" s="114"/>
    </row>
    <row r="48" spans="1:37" ht="24.95" customHeight="1">
      <c r="A48" s="35"/>
      <c r="B48" s="34" t="s">
        <v>94</v>
      </c>
      <c r="E48" s="114"/>
      <c r="G48" s="114"/>
      <c r="H48" s="114"/>
      <c r="I48" s="114"/>
      <c r="J48" s="114"/>
      <c r="K48" s="114"/>
      <c r="L48" s="114"/>
      <c r="M48" s="114"/>
      <c r="N48" s="114"/>
      <c r="O48" s="114"/>
      <c r="P48" s="114"/>
      <c r="Q48" s="114"/>
      <c r="R48" s="114"/>
      <c r="S48" s="114"/>
    </row>
    <row r="49" spans="1:42" ht="24.95" customHeight="1">
      <c r="A49" s="35"/>
      <c r="C49" s="92" t="str">
        <f>IF($AK$15=1,"☑","□")</f>
        <v>□</v>
      </c>
      <c r="D49" s="113" t="s">
        <v>95</v>
      </c>
      <c r="E49" s="114"/>
      <c r="F49" s="114"/>
      <c r="G49" s="114"/>
      <c r="H49" s="114"/>
      <c r="I49" s="114"/>
      <c r="J49" s="92" t="str">
        <f>IF($AK$15=2,"☑","□")</f>
        <v>□</v>
      </c>
      <c r="K49" s="113" t="s">
        <v>96</v>
      </c>
      <c r="L49" s="114"/>
      <c r="M49" s="114"/>
      <c r="N49" s="114"/>
      <c r="O49" s="114"/>
      <c r="P49" s="114"/>
      <c r="Q49" s="92" t="str">
        <f>IF($AK$15=3,"☑","□")</f>
        <v>☑</v>
      </c>
      <c r="R49" s="113" t="s">
        <v>97</v>
      </c>
      <c r="S49" s="114"/>
      <c r="T49" s="114"/>
      <c r="U49" s="114"/>
      <c r="V49" s="114"/>
      <c r="X49" s="92" t="str">
        <f>IF($AK$15=4,"☑","□")</f>
        <v>□</v>
      </c>
      <c r="Y49" s="113" t="s">
        <v>98</v>
      </c>
      <c r="Z49" s="114"/>
      <c r="AA49" s="114"/>
      <c r="AB49" s="114"/>
      <c r="AC49" s="114"/>
    </row>
    <row r="50" spans="1:42" s="34" customFormat="1" ht="24.95" customHeight="1">
      <c r="A50" s="35"/>
      <c r="C50" s="114"/>
      <c r="D50" s="113"/>
      <c r="E50" s="114"/>
      <c r="F50" s="114"/>
      <c r="G50" s="114"/>
      <c r="H50" s="114"/>
      <c r="I50" s="114"/>
      <c r="J50" s="114"/>
      <c r="K50" s="113"/>
      <c r="L50" s="114"/>
      <c r="M50" s="114"/>
      <c r="N50" s="114"/>
      <c r="O50" s="114"/>
      <c r="P50" s="114"/>
      <c r="Q50" s="114"/>
      <c r="R50" s="113"/>
      <c r="S50" s="114"/>
      <c r="T50" s="114"/>
      <c r="U50" s="114"/>
      <c r="V50" s="114"/>
      <c r="X50" s="114"/>
      <c r="Y50" s="113"/>
      <c r="Z50" s="114"/>
      <c r="AA50" s="114"/>
      <c r="AB50" s="114"/>
      <c r="AC50" s="114"/>
      <c r="AK50" s="170"/>
      <c r="AL50" s="172"/>
      <c r="AM50" s="172"/>
      <c r="AN50" s="172"/>
      <c r="AO50" s="172"/>
      <c r="AP50" s="172"/>
    </row>
    <row r="51" spans="1:42" ht="24.95" customHeight="1">
      <c r="A51" s="35"/>
      <c r="B51" s="34" t="s">
        <v>99</v>
      </c>
      <c r="D51" s="114"/>
      <c r="E51" s="114"/>
      <c r="I51" s="114"/>
      <c r="J51" s="114"/>
      <c r="K51" s="114"/>
      <c r="L51" s="114"/>
    </row>
    <row r="52" spans="1:42" ht="24.95" customHeight="1">
      <c r="A52" s="35"/>
      <c r="C52" s="113"/>
      <c r="D52" s="114"/>
      <c r="E52" s="114"/>
      <c r="G52" s="114"/>
      <c r="H52" s="114"/>
      <c r="I52" s="114"/>
      <c r="J52" s="114"/>
      <c r="K52" s="114"/>
      <c r="L52" s="114"/>
      <c r="M52" s="562">
        <v>2000000</v>
      </c>
      <c r="N52" s="562"/>
      <c r="O52" s="562"/>
      <c r="P52" s="562"/>
      <c r="Q52" s="562"/>
      <c r="R52" s="562"/>
      <c r="S52" s="562"/>
      <c r="T52" s="114" t="s">
        <v>100</v>
      </c>
      <c r="V52" s="113" t="s">
        <v>101</v>
      </c>
      <c r="W52" s="34"/>
      <c r="X52" s="114"/>
      <c r="Y52" s="34"/>
      <c r="Z52" s="547"/>
      <c r="AA52" s="547"/>
      <c r="AB52" s="547"/>
      <c r="AC52" s="547"/>
      <c r="AD52" s="547"/>
      <c r="AE52" s="547"/>
      <c r="AF52" s="547"/>
      <c r="AG52" s="114" t="s">
        <v>100</v>
      </c>
    </row>
    <row r="53" spans="1:42" ht="21" customHeight="1">
      <c r="A53" s="35"/>
      <c r="C53" s="41" t="s">
        <v>102</v>
      </c>
      <c r="D53" s="114"/>
      <c r="E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1:42" ht="18.75" customHeight="1">
      <c r="A54" s="35"/>
      <c r="C54" s="41"/>
      <c r="D54" s="41" t="s">
        <v>103</v>
      </c>
      <c r="E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row r="55" spans="1:42" ht="18.75" customHeight="1">
      <c r="A55" s="35"/>
      <c r="C55" s="41" t="s">
        <v>104</v>
      </c>
      <c r="D55" s="114"/>
      <c r="E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row>
    <row r="56" spans="1:42" ht="15" customHeight="1">
      <c r="A56" s="35"/>
      <c r="C56" s="41"/>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42" ht="24.95" customHeight="1">
      <c r="A57" s="35"/>
      <c r="B57" s="113" t="s">
        <v>105</v>
      </c>
      <c r="C57" s="34"/>
      <c r="D57" s="114"/>
      <c r="E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row>
    <row r="58" spans="1:42" ht="24.95" customHeight="1">
      <c r="A58" s="35"/>
      <c r="B58" s="34" t="s">
        <v>106</v>
      </c>
      <c r="H58" s="114"/>
      <c r="I58" s="114"/>
      <c r="J58" s="114"/>
      <c r="K58" s="114"/>
      <c r="L58" s="114"/>
      <c r="M58" s="114"/>
      <c r="N58" s="114"/>
      <c r="O58" s="114"/>
      <c r="P58" s="114"/>
      <c r="Q58" s="114"/>
      <c r="R58" s="114"/>
      <c r="S58" s="114"/>
    </row>
    <row r="59" spans="1:42" ht="24.95" customHeight="1">
      <c r="A59" s="35"/>
      <c r="C59" s="92" t="str">
        <f>IF($AK$15=1,"☑","□")</f>
        <v>□</v>
      </c>
      <c r="D59" s="113" t="s">
        <v>107</v>
      </c>
      <c r="E59" s="114"/>
      <c r="F59" s="114"/>
      <c r="G59" s="114"/>
      <c r="H59" s="114"/>
      <c r="I59" s="114"/>
      <c r="J59" s="92" t="str">
        <f>IF($AK$15=2,"☑","□")</f>
        <v>□</v>
      </c>
      <c r="K59" s="113" t="s">
        <v>108</v>
      </c>
      <c r="L59" s="114"/>
      <c r="M59" s="114"/>
      <c r="N59" s="114"/>
      <c r="O59" s="114"/>
      <c r="P59" s="114"/>
      <c r="Q59" s="92" t="str">
        <f>IF($AK$15=3,"☑","□")</f>
        <v>☑</v>
      </c>
      <c r="R59" s="113" t="s">
        <v>109</v>
      </c>
      <c r="S59" s="114"/>
      <c r="T59" s="114"/>
      <c r="U59" s="114"/>
      <c r="V59" s="114"/>
      <c r="X59" s="92" t="str">
        <f>IF($AK$15=4,"☑","□")</f>
        <v>□</v>
      </c>
      <c r="Y59" s="113" t="s">
        <v>110</v>
      </c>
      <c r="Z59" s="114"/>
      <c r="AA59" s="114"/>
      <c r="AB59" s="114"/>
      <c r="AC59" s="114"/>
    </row>
    <row r="60" spans="1:42" ht="15" customHeight="1">
      <c r="A60" s="35"/>
      <c r="F60" s="114"/>
      <c r="G60" s="114"/>
      <c r="H60" s="114"/>
      <c r="I60" s="114"/>
      <c r="J60" s="114"/>
      <c r="K60" s="114"/>
      <c r="L60" s="114"/>
      <c r="M60" s="114"/>
      <c r="N60" s="114"/>
      <c r="O60" s="114"/>
      <c r="P60" s="114"/>
      <c r="Q60" s="114"/>
      <c r="R60" s="114"/>
      <c r="S60" s="114"/>
    </row>
    <row r="61" spans="1:42" ht="24.95" customHeight="1">
      <c r="A61" s="35"/>
      <c r="B61" s="113" t="s">
        <v>111</v>
      </c>
      <c r="C61" s="34"/>
      <c r="D61" s="114"/>
      <c r="E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row>
    <row r="62" spans="1:42" ht="24.95" customHeight="1">
      <c r="A62" s="35"/>
      <c r="B62" s="113" t="s">
        <v>112</v>
      </c>
      <c r="C62" s="34"/>
      <c r="D62" s="114"/>
      <c r="E62" s="114"/>
      <c r="G62" s="114"/>
      <c r="H62" s="114"/>
      <c r="I62" s="114"/>
      <c r="J62" s="114"/>
      <c r="K62" s="114"/>
      <c r="L62" s="114"/>
      <c r="AK62" s="170" t="s">
        <v>113</v>
      </c>
    </row>
    <row r="63" spans="1:42" ht="24.95" customHeight="1">
      <c r="A63" s="35"/>
      <c r="B63" s="113"/>
      <c r="C63" s="34"/>
      <c r="D63" s="114"/>
      <c r="E63" s="114"/>
      <c r="G63" s="114"/>
      <c r="H63" s="114"/>
      <c r="I63" s="114"/>
      <c r="J63" s="114"/>
      <c r="K63" s="114"/>
      <c r="L63" s="114"/>
      <c r="M63" s="547">
        <v>0</v>
      </c>
      <c r="N63" s="547"/>
      <c r="O63" s="547"/>
      <c r="P63" s="547"/>
      <c r="Q63" s="547"/>
      <c r="R63" s="547"/>
      <c r="S63" s="547"/>
      <c r="T63" s="114" t="s">
        <v>114</v>
      </c>
      <c r="V63" s="113" t="s">
        <v>101</v>
      </c>
      <c r="X63" s="114"/>
      <c r="Z63" s="547"/>
      <c r="AA63" s="547"/>
      <c r="AB63" s="547"/>
      <c r="AC63" s="547"/>
      <c r="AD63" s="547"/>
      <c r="AE63" s="547"/>
      <c r="AF63" s="547"/>
      <c r="AG63" s="114" t="s">
        <v>115</v>
      </c>
      <c r="AK63" s="170">
        <v>6</v>
      </c>
    </row>
    <row r="64" spans="1:42" ht="24.95" customHeight="1">
      <c r="A64" s="35"/>
      <c r="B64" s="113" t="s">
        <v>116</v>
      </c>
      <c r="C64" s="34"/>
      <c r="D64" s="114"/>
      <c r="E64" s="114"/>
      <c r="G64" s="114"/>
      <c r="H64" s="114"/>
      <c r="I64" s="114"/>
      <c r="J64" s="114"/>
      <c r="K64" s="114"/>
      <c r="L64" s="114"/>
      <c r="M64" s="50"/>
      <c r="N64" s="50"/>
      <c r="O64" s="50"/>
      <c r="P64" s="50"/>
      <c r="Q64" s="50"/>
      <c r="R64" s="50"/>
      <c r="S64" s="50"/>
      <c r="Z64" s="50"/>
      <c r="AA64" s="50"/>
      <c r="AB64" s="50"/>
      <c r="AC64" s="50"/>
      <c r="AD64" s="50"/>
      <c r="AE64" s="50"/>
      <c r="AF64" s="50"/>
    </row>
    <row r="65" spans="1:37" ht="24.95" customHeight="1">
      <c r="A65" s="35"/>
      <c r="B65" s="113"/>
      <c r="C65" s="34"/>
      <c r="D65" s="114"/>
      <c r="E65" s="114"/>
      <c r="G65" s="114"/>
      <c r="H65" s="114"/>
      <c r="I65" s="114"/>
      <c r="J65" s="114"/>
      <c r="K65" s="114"/>
      <c r="L65" s="114"/>
      <c r="M65" s="547">
        <v>0</v>
      </c>
      <c r="N65" s="547"/>
      <c r="O65" s="547"/>
      <c r="P65" s="547"/>
      <c r="Q65" s="547"/>
      <c r="R65" s="547"/>
      <c r="S65" s="547"/>
      <c r="T65" s="114" t="s">
        <v>114</v>
      </c>
      <c r="V65" s="113" t="s">
        <v>101</v>
      </c>
      <c r="X65" s="114"/>
      <c r="Z65" s="547"/>
      <c r="AA65" s="547"/>
      <c r="AB65" s="547"/>
      <c r="AC65" s="547"/>
      <c r="AD65" s="547"/>
      <c r="AE65" s="547"/>
      <c r="AF65" s="547"/>
      <c r="AG65" s="114" t="s">
        <v>115</v>
      </c>
      <c r="AK65" s="170">
        <v>2</v>
      </c>
    </row>
    <row r="66" spans="1:37" ht="24.95" customHeight="1">
      <c r="A66" s="35"/>
      <c r="B66" s="113" t="s">
        <v>117</v>
      </c>
      <c r="C66" s="113"/>
      <c r="D66" s="114"/>
      <c r="E66" s="114"/>
      <c r="G66" s="114"/>
      <c r="H66" s="114"/>
      <c r="I66" s="114"/>
      <c r="J66" s="114"/>
      <c r="K66" s="114"/>
      <c r="L66" s="114"/>
      <c r="M66" s="50"/>
      <c r="N66" s="50"/>
      <c r="O66" s="50"/>
      <c r="P66" s="50"/>
      <c r="Q66" s="50"/>
      <c r="R66" s="50"/>
      <c r="S66" s="50"/>
      <c r="Z66" s="50"/>
      <c r="AA66" s="50"/>
      <c r="AB66" s="50"/>
      <c r="AC66" s="50"/>
      <c r="AD66" s="50"/>
      <c r="AE66" s="50"/>
      <c r="AF66" s="50"/>
    </row>
    <row r="67" spans="1:37" ht="24.95" customHeight="1">
      <c r="A67" s="35"/>
      <c r="B67" s="34"/>
      <c r="C67" s="113"/>
      <c r="D67" s="114"/>
      <c r="E67" s="114"/>
      <c r="G67" s="114"/>
      <c r="H67" s="114"/>
      <c r="I67" s="114"/>
      <c r="J67" s="114"/>
      <c r="K67" s="114"/>
      <c r="L67" s="114"/>
      <c r="M67" s="547">
        <v>0</v>
      </c>
      <c r="N67" s="547"/>
      <c r="O67" s="547"/>
      <c r="P67" s="547"/>
      <c r="Q67" s="547"/>
      <c r="R67" s="547"/>
      <c r="S67" s="547"/>
      <c r="T67" s="114" t="s">
        <v>114</v>
      </c>
      <c r="V67" s="113" t="s">
        <v>101</v>
      </c>
      <c r="X67" s="114"/>
      <c r="Z67" s="547"/>
      <c r="AA67" s="547"/>
      <c r="AB67" s="547"/>
      <c r="AC67" s="547"/>
      <c r="AD67" s="547"/>
      <c r="AE67" s="547"/>
      <c r="AF67" s="547"/>
      <c r="AG67" s="114" t="s">
        <v>115</v>
      </c>
      <c r="AK67" s="170">
        <v>28</v>
      </c>
    </row>
    <row r="68" spans="1:37" ht="24.95" customHeight="1">
      <c r="A68" s="35"/>
      <c r="B68" s="113" t="s">
        <v>118</v>
      </c>
      <c r="C68" s="113"/>
      <c r="D68" s="114"/>
      <c r="E68" s="114"/>
      <c r="G68" s="114"/>
      <c r="H68" s="114"/>
      <c r="I68" s="114"/>
      <c r="J68" s="114"/>
      <c r="K68" s="114"/>
      <c r="L68" s="114"/>
      <c r="M68" s="158"/>
      <c r="N68" s="158"/>
      <c r="O68" s="158"/>
      <c r="P68" s="158"/>
      <c r="Q68" s="158"/>
      <c r="R68" s="158"/>
      <c r="S68" s="158"/>
      <c r="T68" s="114"/>
      <c r="U68" s="114"/>
      <c r="V68" s="114"/>
      <c r="W68" s="114"/>
      <c r="X68" s="114"/>
      <c r="Y68" s="114"/>
      <c r="Z68" s="158"/>
      <c r="AA68" s="158"/>
      <c r="AB68" s="158"/>
      <c r="AC68" s="158"/>
      <c r="AD68" s="158"/>
      <c r="AE68" s="158"/>
      <c r="AF68" s="158"/>
      <c r="AG68" s="114"/>
    </row>
    <row r="69" spans="1:37" ht="24.95" customHeight="1">
      <c r="A69" s="35"/>
      <c r="B69" s="34"/>
      <c r="C69" s="113"/>
      <c r="D69" s="114"/>
      <c r="E69" s="114"/>
      <c r="G69" s="114"/>
      <c r="H69" s="114"/>
      <c r="I69" s="114"/>
      <c r="J69" s="114"/>
      <c r="K69" s="114"/>
      <c r="L69" s="114"/>
      <c r="M69" s="547">
        <v>0</v>
      </c>
      <c r="N69" s="547"/>
      <c r="O69" s="547"/>
      <c r="P69" s="547"/>
      <c r="Q69" s="547"/>
      <c r="R69" s="547"/>
      <c r="S69" s="547"/>
      <c r="T69" s="114" t="s">
        <v>114</v>
      </c>
      <c r="U69" s="34"/>
      <c r="V69" s="113" t="s">
        <v>101</v>
      </c>
      <c r="W69" s="34"/>
      <c r="X69" s="114"/>
      <c r="Y69" s="34"/>
      <c r="Z69" s="547"/>
      <c r="AA69" s="547"/>
      <c r="AB69" s="547"/>
      <c r="AC69" s="547"/>
      <c r="AD69" s="547"/>
      <c r="AE69" s="547"/>
      <c r="AF69" s="547"/>
      <c r="AG69" s="114" t="s">
        <v>115</v>
      </c>
      <c r="AK69" s="170">
        <v>7</v>
      </c>
    </row>
    <row r="70" spans="1:37" ht="24.95" customHeight="1">
      <c r="A70" s="35"/>
      <c r="B70" s="113" t="s">
        <v>119</v>
      </c>
      <c r="C70" s="34"/>
      <c r="D70" s="114"/>
      <c r="E70" s="114"/>
      <c r="G70" s="114"/>
      <c r="H70" s="114"/>
      <c r="I70" s="114"/>
      <c r="J70" s="114"/>
      <c r="K70" s="114"/>
      <c r="L70" s="114"/>
      <c r="M70" s="158"/>
      <c r="N70" s="158"/>
      <c r="O70" s="158"/>
      <c r="P70" s="158"/>
      <c r="Q70" s="158"/>
      <c r="R70" s="158"/>
      <c r="S70" s="158"/>
      <c r="T70" s="114"/>
      <c r="U70" s="114"/>
      <c r="V70" s="114"/>
      <c r="W70" s="114"/>
      <c r="X70" s="114"/>
      <c r="Y70" s="114"/>
      <c r="Z70" s="158"/>
      <c r="AA70" s="158"/>
      <c r="AB70" s="158"/>
      <c r="AC70" s="158"/>
      <c r="AD70" s="158"/>
      <c r="AE70" s="158"/>
      <c r="AF70" s="158"/>
      <c r="AG70" s="114"/>
    </row>
    <row r="71" spans="1:37" ht="24.95" customHeight="1">
      <c r="A71" s="35"/>
      <c r="B71" s="113"/>
      <c r="C71" s="34"/>
      <c r="D71" s="114"/>
      <c r="E71" s="114"/>
      <c r="G71" s="114"/>
      <c r="H71" s="114"/>
      <c r="I71" s="114"/>
      <c r="J71" s="114"/>
      <c r="K71" s="114"/>
      <c r="L71" s="114"/>
      <c r="M71" s="547">
        <v>100</v>
      </c>
      <c r="N71" s="547"/>
      <c r="O71" s="547"/>
      <c r="P71" s="547"/>
      <c r="Q71" s="547"/>
      <c r="R71" s="547"/>
      <c r="S71" s="547"/>
      <c r="T71" s="114" t="s">
        <v>114</v>
      </c>
      <c r="U71" s="34"/>
      <c r="V71" s="113" t="s">
        <v>101</v>
      </c>
      <c r="W71" s="34"/>
      <c r="X71" s="114"/>
      <c r="Y71" s="34"/>
      <c r="Z71" s="547"/>
      <c r="AA71" s="547"/>
      <c r="AB71" s="547"/>
      <c r="AC71" s="547"/>
      <c r="AD71" s="547"/>
      <c r="AE71" s="547"/>
      <c r="AF71" s="547"/>
      <c r="AG71" s="114" t="s">
        <v>115</v>
      </c>
      <c r="AK71" s="170">
        <v>10</v>
      </c>
    </row>
    <row r="72" spans="1:37" ht="24.95" customHeight="1">
      <c r="A72" s="35"/>
      <c r="B72" s="113" t="s">
        <v>120</v>
      </c>
      <c r="C72" s="34"/>
      <c r="D72" s="114"/>
      <c r="E72" s="114"/>
      <c r="G72" s="114"/>
      <c r="H72" s="114"/>
      <c r="I72" s="114"/>
      <c r="J72" s="114"/>
      <c r="K72" s="114"/>
      <c r="L72" s="114"/>
      <c r="M72" s="50"/>
      <c r="N72" s="50"/>
      <c r="O72" s="50"/>
      <c r="P72" s="50"/>
      <c r="Q72" s="50"/>
      <c r="R72" s="50"/>
      <c r="S72" s="50"/>
      <c r="Z72" s="50"/>
      <c r="AA72" s="50"/>
      <c r="AB72" s="50"/>
      <c r="AC72" s="50"/>
      <c r="AD72" s="50"/>
      <c r="AE72" s="50"/>
      <c r="AF72" s="50"/>
    </row>
    <row r="73" spans="1:37" ht="24.95" customHeight="1">
      <c r="A73" s="35"/>
      <c r="B73" s="34"/>
      <c r="C73" s="113"/>
      <c r="D73" s="114"/>
      <c r="E73" s="114"/>
      <c r="G73" s="114"/>
      <c r="H73" s="114"/>
      <c r="I73" s="114"/>
      <c r="J73" s="114"/>
      <c r="K73" s="114"/>
      <c r="L73" s="114"/>
      <c r="M73" s="547">
        <v>600</v>
      </c>
      <c r="N73" s="547"/>
      <c r="O73" s="547"/>
      <c r="P73" s="547"/>
      <c r="Q73" s="547"/>
      <c r="R73" s="547"/>
      <c r="S73" s="547"/>
      <c r="T73" s="114" t="s">
        <v>114</v>
      </c>
      <c r="V73" s="113" t="s">
        <v>101</v>
      </c>
      <c r="X73" s="114"/>
      <c r="Z73" s="547"/>
      <c r="AA73" s="547"/>
      <c r="AB73" s="547"/>
      <c r="AC73" s="547"/>
      <c r="AD73" s="547"/>
      <c r="AE73" s="547"/>
      <c r="AF73" s="547"/>
      <c r="AG73" s="114" t="s">
        <v>115</v>
      </c>
      <c r="AK73" s="170">
        <v>2</v>
      </c>
    </row>
    <row r="74" spans="1:37" ht="24.75" customHeight="1">
      <c r="A74" s="35"/>
      <c r="B74" s="113" t="s">
        <v>121</v>
      </c>
      <c r="C74" s="113"/>
      <c r="D74" s="114"/>
      <c r="E74" s="114"/>
      <c r="G74" s="114"/>
      <c r="H74" s="114"/>
      <c r="I74" s="114"/>
      <c r="J74" s="114"/>
      <c r="K74" s="114"/>
      <c r="L74" s="114"/>
      <c r="M74" s="50"/>
      <c r="N74" s="50"/>
      <c r="O74" s="50"/>
      <c r="P74" s="50"/>
      <c r="Q74" s="50"/>
      <c r="R74" s="50"/>
      <c r="S74" s="50"/>
      <c r="Z74" s="50"/>
      <c r="AA74" s="50"/>
      <c r="AB74" s="50"/>
      <c r="AC74" s="50"/>
      <c r="AD74" s="50"/>
      <c r="AE74" s="50"/>
      <c r="AF74" s="50"/>
    </row>
    <row r="75" spans="1:37" ht="24.95" customHeight="1">
      <c r="A75" s="35"/>
      <c r="B75" s="34"/>
      <c r="C75" s="113"/>
      <c r="D75" s="114"/>
      <c r="E75" s="114"/>
      <c r="G75" s="114"/>
      <c r="H75" s="114"/>
      <c r="I75" s="114"/>
      <c r="J75" s="114"/>
      <c r="K75" s="114"/>
      <c r="L75" s="114"/>
      <c r="M75" s="547">
        <v>0</v>
      </c>
      <c r="N75" s="547"/>
      <c r="O75" s="547"/>
      <c r="P75" s="547"/>
      <c r="Q75" s="547"/>
      <c r="R75" s="547"/>
      <c r="S75" s="547"/>
      <c r="T75" s="114" t="s">
        <v>114</v>
      </c>
      <c r="V75" s="113" t="s">
        <v>101</v>
      </c>
      <c r="X75" s="114"/>
      <c r="Z75" s="547"/>
      <c r="AA75" s="547"/>
      <c r="AB75" s="547"/>
      <c r="AC75" s="547"/>
      <c r="AD75" s="547"/>
      <c r="AE75" s="547"/>
      <c r="AF75" s="547"/>
      <c r="AG75" s="114" t="s">
        <v>115</v>
      </c>
      <c r="AK75" s="170">
        <v>41</v>
      </c>
    </row>
    <row r="76" spans="1:37" ht="24.95" customHeight="1">
      <c r="A76" s="35"/>
      <c r="B76" s="113" t="s">
        <v>122</v>
      </c>
      <c r="C76" s="113"/>
      <c r="D76" s="114"/>
      <c r="E76" s="114"/>
      <c r="G76" s="114"/>
      <c r="H76" s="114"/>
      <c r="I76" s="114"/>
      <c r="J76" s="114"/>
      <c r="K76" s="114"/>
      <c r="L76" s="114"/>
      <c r="M76" s="158"/>
      <c r="N76" s="158"/>
      <c r="O76" s="158"/>
      <c r="P76" s="158"/>
      <c r="Q76" s="158"/>
      <c r="R76" s="158"/>
      <c r="S76" s="158"/>
      <c r="T76" s="114"/>
      <c r="U76" s="114"/>
      <c r="V76" s="114"/>
      <c r="W76" s="114"/>
      <c r="X76" s="114"/>
      <c r="Y76" s="114"/>
      <c r="Z76" s="158"/>
      <c r="AA76" s="158"/>
      <c r="AB76" s="158"/>
      <c r="AC76" s="158"/>
      <c r="AD76" s="158"/>
      <c r="AE76" s="158"/>
      <c r="AF76" s="158"/>
      <c r="AG76" s="114"/>
    </row>
    <row r="77" spans="1:37" ht="24.95" customHeight="1">
      <c r="A77" s="35"/>
      <c r="B77" s="34"/>
      <c r="C77" s="113"/>
      <c r="D77" s="114"/>
      <c r="E77" s="114"/>
      <c r="G77" s="114"/>
      <c r="H77" s="114"/>
      <c r="I77" s="114"/>
      <c r="J77" s="114"/>
      <c r="K77" s="114"/>
      <c r="L77" s="114"/>
      <c r="M77" s="547">
        <v>0</v>
      </c>
      <c r="N77" s="547"/>
      <c r="O77" s="547"/>
      <c r="P77" s="547"/>
      <c r="Q77" s="547"/>
      <c r="R77" s="547"/>
      <c r="S77" s="547"/>
      <c r="T77" s="114" t="s">
        <v>114</v>
      </c>
      <c r="U77" s="34"/>
      <c r="V77" s="113" t="s">
        <v>101</v>
      </c>
      <c r="W77" s="34"/>
      <c r="X77" s="114"/>
      <c r="Y77" s="34"/>
      <c r="Z77" s="547"/>
      <c r="AA77" s="547"/>
      <c r="AB77" s="547"/>
      <c r="AC77" s="547"/>
      <c r="AD77" s="547"/>
      <c r="AE77" s="547"/>
      <c r="AF77" s="547"/>
      <c r="AG77" s="114" t="s">
        <v>115</v>
      </c>
      <c r="AK77" s="170">
        <v>10</v>
      </c>
    </row>
    <row r="78" spans="1:37" ht="24.95" customHeight="1">
      <c r="A78" s="35"/>
      <c r="C78" s="41" t="s">
        <v>123</v>
      </c>
      <c r="D78" s="114"/>
      <c r="E78" s="114"/>
      <c r="F78" s="4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row>
    <row r="79" spans="1:37" ht="24.95" customHeight="1">
      <c r="A79" s="35"/>
      <c r="C79" s="41" t="s">
        <v>124</v>
      </c>
      <c r="D79" s="114"/>
      <c r="E79" s="114"/>
      <c r="F79" s="4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row>
    <row r="80" spans="1:37" ht="24.95" customHeight="1">
      <c r="A80" s="35"/>
      <c r="C80" s="41" t="s">
        <v>125</v>
      </c>
      <c r="D80" s="114"/>
      <c r="E80" s="114"/>
      <c r="F80" s="4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row>
    <row r="81" spans="1:37" ht="24.95" customHeight="1">
      <c r="A81" s="35"/>
      <c r="C81" s="41" t="s">
        <v>104</v>
      </c>
      <c r="D81" s="114"/>
      <c r="E81" s="114"/>
      <c r="F81" s="4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row>
    <row r="82" spans="1:37" ht="24.95" customHeight="1">
      <c r="A82" s="35"/>
      <c r="B82" s="113" t="s">
        <v>126</v>
      </c>
      <c r="C82" s="41"/>
      <c r="D82" s="114"/>
      <c r="E82" s="114"/>
      <c r="F82" s="4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row>
    <row r="83" spans="1:37" ht="24.95" customHeight="1">
      <c r="A83" s="35"/>
      <c r="B83" s="113" t="s">
        <v>127</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row>
    <row r="84" spans="1:37" ht="24.95" customHeight="1">
      <c r="A84" s="35"/>
      <c r="C84" s="113"/>
      <c r="D84" s="114"/>
      <c r="E84" s="114"/>
      <c r="G84" s="114"/>
      <c r="H84" s="114"/>
      <c r="I84" s="114"/>
      <c r="J84" s="114"/>
      <c r="K84" s="114"/>
      <c r="L84" s="114"/>
      <c r="M84" s="561">
        <f>SUM(M62:S77)</f>
        <v>700</v>
      </c>
      <c r="N84" s="561"/>
      <c r="O84" s="561"/>
      <c r="P84" s="561"/>
      <c r="Q84" s="561"/>
      <c r="R84" s="561"/>
      <c r="S84" s="561"/>
      <c r="T84" s="114" t="s">
        <v>114</v>
      </c>
      <c r="U84" s="34"/>
      <c r="V84" s="113" t="s">
        <v>101</v>
      </c>
      <c r="W84" s="34"/>
      <c r="X84" s="114"/>
      <c r="Y84" s="34"/>
      <c r="Z84" s="561">
        <f>SUM(Z62:AF77)</f>
        <v>0</v>
      </c>
      <c r="AA84" s="561"/>
      <c r="AB84" s="561"/>
      <c r="AC84" s="561"/>
      <c r="AD84" s="561"/>
      <c r="AE84" s="561"/>
      <c r="AF84" s="561"/>
      <c r="AG84" s="114" t="s">
        <v>115</v>
      </c>
    </row>
    <row r="85" spans="1:37" ht="24.95" customHeight="1">
      <c r="A85" s="35"/>
      <c r="B85" s="113" t="s">
        <v>128</v>
      </c>
      <c r="C85" s="113"/>
      <c r="D85" s="114"/>
      <c r="E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row>
    <row r="86" spans="1:37" ht="24.95" customHeight="1">
      <c r="A86" s="35"/>
      <c r="C86" s="113"/>
      <c r="D86" s="114"/>
      <c r="E86" s="114"/>
      <c r="G86" s="114"/>
      <c r="H86" s="114"/>
      <c r="I86" s="114"/>
      <c r="J86" s="114"/>
      <c r="K86" s="114"/>
      <c r="L86" s="114"/>
      <c r="M86" s="561">
        <f>M63*AK63+M65*AK65+M67*AK67+M69*AK69+M71*AK71+M73*AK73+M75*AK75+M77*AK77</f>
        <v>2200</v>
      </c>
      <c r="N86" s="561"/>
      <c r="O86" s="561"/>
      <c r="P86" s="561"/>
      <c r="Q86" s="561"/>
      <c r="R86" s="561"/>
      <c r="S86" s="561"/>
      <c r="T86" s="114" t="s">
        <v>129</v>
      </c>
      <c r="U86" s="34"/>
      <c r="V86" s="113" t="s">
        <v>101</v>
      </c>
      <c r="W86" s="34"/>
      <c r="X86" s="114"/>
      <c r="Y86" s="34"/>
      <c r="Z86" s="561">
        <f>Z63*AK63+Z65*AK65+Z67*AK67+Z69*AK69+Z71*AK71+Z73*AK73+Z75*AK75+Z77*AK77</f>
        <v>0</v>
      </c>
      <c r="AA86" s="561"/>
      <c r="AB86" s="561"/>
      <c r="AC86" s="561"/>
      <c r="AD86" s="561"/>
      <c r="AE86" s="561"/>
      <c r="AF86" s="561"/>
      <c r="AG86" s="114" t="s">
        <v>130</v>
      </c>
    </row>
    <row r="87" spans="1:37" ht="15" customHeight="1">
      <c r="A87" s="35"/>
      <c r="C87" s="113"/>
      <c r="D87" s="114"/>
      <c r="E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row>
    <row r="88" spans="1:37" ht="24.95" customHeight="1">
      <c r="A88" s="35"/>
      <c r="B88" s="113" t="s">
        <v>131</v>
      </c>
      <c r="C88" s="113"/>
      <c r="D88" s="114"/>
      <c r="E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row>
    <row r="89" spans="1:37" ht="24.95" customHeight="1">
      <c r="A89" s="35"/>
      <c r="B89" s="113"/>
      <c r="D89" s="114"/>
      <c r="E89" s="114"/>
      <c r="G89" s="114"/>
      <c r="H89" s="114"/>
      <c r="I89" s="114"/>
      <c r="J89" s="114"/>
      <c r="K89" s="114"/>
      <c r="L89" s="114"/>
      <c r="M89" s="580">
        <f>IFERROR(ROUNDDOWN(M86*10/M52,4),"")</f>
        <v>1.0999999999999999E-2</v>
      </c>
      <c r="N89" s="580"/>
      <c r="O89" s="580"/>
      <c r="P89" s="580"/>
      <c r="Q89" s="580"/>
      <c r="R89" s="580"/>
      <c r="S89" s="580"/>
      <c r="T89" s="114"/>
      <c r="U89" s="34"/>
      <c r="V89" s="113" t="s">
        <v>101</v>
      </c>
      <c r="W89" s="34"/>
      <c r="X89" s="114"/>
      <c r="Y89" s="34"/>
      <c r="Z89" s="564" t="str">
        <f>IFERROR(Z86*10/Z52,"")</f>
        <v/>
      </c>
      <c r="AA89" s="564"/>
      <c r="AB89" s="564"/>
      <c r="AC89" s="564"/>
      <c r="AD89" s="564"/>
      <c r="AE89" s="564"/>
      <c r="AF89" s="564"/>
      <c r="AG89" s="114" t="s">
        <v>132</v>
      </c>
      <c r="AK89" s="173">
        <f>IF(M89&lt;0.012,1,0)</f>
        <v>1</v>
      </c>
    </row>
    <row r="90" spans="1:37" ht="15" customHeight="1">
      <c r="A90" s="35"/>
      <c r="B90" s="113"/>
      <c r="D90" s="41"/>
      <c r="E90" s="114"/>
      <c r="F90" s="41"/>
      <c r="G90" s="114"/>
      <c r="H90" s="114"/>
      <c r="I90" s="114"/>
      <c r="J90" s="114"/>
      <c r="K90" s="114"/>
      <c r="L90" s="114"/>
      <c r="M90" s="114"/>
      <c r="N90" s="114"/>
      <c r="O90" s="114"/>
      <c r="P90" s="114"/>
      <c r="Q90" s="114"/>
      <c r="R90" s="114"/>
      <c r="S90" s="114"/>
      <c r="AE90" s="159"/>
      <c r="AF90" s="159"/>
    </row>
    <row r="91" spans="1:37" ht="24.95" customHeight="1">
      <c r="A91" s="35"/>
      <c r="B91" s="113" t="s">
        <v>133</v>
      </c>
      <c r="D91" s="114"/>
      <c r="E91" s="114"/>
      <c r="G91" s="114"/>
      <c r="H91" s="114"/>
      <c r="I91" s="114"/>
      <c r="J91" s="114"/>
      <c r="K91" s="114"/>
      <c r="L91" s="114"/>
    </row>
    <row r="92" spans="1:37" ht="24.95" customHeight="1">
      <c r="A92" s="35"/>
      <c r="C92" s="113"/>
      <c r="D92" s="114"/>
      <c r="E92" s="114"/>
      <c r="M92" s="563">
        <f>IFERROR(IF((M52*1.2%-(M86*10))/(((M63+M67+M69+M71+M75+M77)*8+M65+M73)*10)&lt;0,0,(M52*1.2%-(M86*10))/(((M63+M67+M69+M71+M75+M77)*8+M65+M73)*10)),"")</f>
        <v>0.14285714285714285</v>
      </c>
      <c r="N92" s="563"/>
      <c r="O92" s="563"/>
      <c r="P92" s="563"/>
      <c r="Q92" s="563"/>
      <c r="R92" s="563"/>
      <c r="S92" s="563"/>
      <c r="T92" s="114"/>
      <c r="V92" s="113" t="s">
        <v>101</v>
      </c>
      <c r="Z92" s="563" t="str">
        <f>IFERROR(IF((Z52*1.2%-(Z86*10))/(((Z63+Z67+Z69+Z71+Z75+Z77)*8+Z65+Z73)*10)&lt;0,0,(Z52*1.2%-(Z86*10))/(((Z63+Z67+Z69+Z71+Z75+Z77)*8+Z65+Z73)*10)),"")</f>
        <v/>
      </c>
      <c r="AA92" s="563"/>
      <c r="AB92" s="563"/>
      <c r="AC92" s="563"/>
      <c r="AD92" s="563"/>
      <c r="AE92" s="563"/>
      <c r="AF92" s="563"/>
      <c r="AG92" s="114" t="s">
        <v>134</v>
      </c>
    </row>
    <row r="93" spans="1:37" ht="24.95" customHeight="1">
      <c r="A93" s="35"/>
      <c r="C93" s="113"/>
      <c r="D93" s="114"/>
      <c r="E93" s="114"/>
      <c r="G93" s="114"/>
      <c r="H93" s="114"/>
      <c r="I93" s="114"/>
      <c r="J93" s="114"/>
      <c r="K93" s="114"/>
      <c r="L93" s="114"/>
      <c r="M93" s="114"/>
      <c r="N93" s="114"/>
      <c r="O93" s="114"/>
      <c r="P93" s="114"/>
      <c r="Q93" s="114"/>
      <c r="R93" s="114"/>
      <c r="S93" s="114"/>
    </row>
    <row r="94" spans="1:37" ht="20.100000000000001" customHeight="1">
      <c r="A94" s="35"/>
      <c r="B94" s="560" t="s">
        <v>135</v>
      </c>
      <c r="C94" s="560"/>
      <c r="D94" s="560"/>
      <c r="E94" s="560"/>
      <c r="F94" s="565" t="s">
        <v>136</v>
      </c>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row>
    <row r="95" spans="1:37" ht="20.100000000000001" customHeight="1">
      <c r="A95" s="35"/>
      <c r="B95" s="560"/>
      <c r="C95" s="560"/>
      <c r="D95" s="560"/>
      <c r="E95" s="560"/>
      <c r="F95" s="567" t="s">
        <v>137</v>
      </c>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row>
    <row r="96" spans="1:37" ht="20.100000000000001" customHeight="1">
      <c r="A96" s="35"/>
      <c r="B96" s="560"/>
      <c r="C96" s="560"/>
      <c r="D96" s="560"/>
      <c r="E96" s="560"/>
      <c r="G96" s="73"/>
      <c r="H96" s="73"/>
      <c r="I96" s="73"/>
      <c r="J96" s="568" t="s">
        <v>138</v>
      </c>
      <c r="K96" s="568"/>
      <c r="L96" s="568"/>
      <c r="M96" s="568"/>
      <c r="N96" s="568"/>
      <c r="O96" s="568"/>
      <c r="P96" s="568"/>
      <c r="Q96" s="568"/>
      <c r="R96" s="568"/>
      <c r="S96" s="568"/>
      <c r="T96" s="568"/>
      <c r="U96" s="568"/>
      <c r="V96" s="568"/>
      <c r="W96" s="568"/>
      <c r="X96" s="568"/>
      <c r="Y96" s="568"/>
      <c r="Z96" s="568"/>
      <c r="AA96" s="568"/>
      <c r="AB96" s="568"/>
      <c r="AC96" s="568"/>
      <c r="AD96" s="568"/>
      <c r="AE96" s="73"/>
      <c r="AF96" s="73"/>
      <c r="AG96" s="73"/>
      <c r="AH96" s="73"/>
    </row>
    <row r="97" spans="1:37" ht="20.100000000000001" customHeight="1">
      <c r="A97" s="35"/>
      <c r="B97" s="560"/>
      <c r="C97" s="560"/>
      <c r="D97" s="560"/>
      <c r="E97" s="560"/>
      <c r="G97" s="72"/>
      <c r="H97" s="72"/>
      <c r="I97" s="72"/>
      <c r="J97" s="569" t="s">
        <v>139</v>
      </c>
      <c r="K97" s="569"/>
      <c r="L97" s="569"/>
      <c r="M97" s="569"/>
      <c r="N97" s="569"/>
      <c r="O97" s="569"/>
      <c r="P97" s="569"/>
      <c r="Q97" s="569"/>
      <c r="R97" s="569"/>
      <c r="S97" s="569"/>
      <c r="T97" s="569"/>
      <c r="U97" s="569"/>
      <c r="V97" s="569"/>
      <c r="W97" s="569"/>
      <c r="X97" s="569"/>
      <c r="Y97" s="569"/>
      <c r="Z97" s="569"/>
      <c r="AA97" s="569"/>
      <c r="AB97" s="569"/>
      <c r="AC97" s="569"/>
      <c r="AD97" s="569"/>
      <c r="AE97" s="72"/>
      <c r="AF97" s="72"/>
      <c r="AG97" s="72"/>
      <c r="AH97" s="72"/>
    </row>
    <row r="98" spans="1:37" ht="20.100000000000001" customHeight="1">
      <c r="A98" s="35"/>
      <c r="B98" s="560"/>
      <c r="C98" s="560"/>
      <c r="D98" s="560"/>
      <c r="E98" s="560"/>
      <c r="G98" s="71"/>
      <c r="H98" s="71"/>
      <c r="I98" s="71"/>
      <c r="J98" s="569" t="s">
        <v>140</v>
      </c>
      <c r="K98" s="569"/>
      <c r="L98" s="569"/>
      <c r="M98" s="569"/>
      <c r="N98" s="569"/>
      <c r="O98" s="569"/>
      <c r="P98" s="569"/>
      <c r="Q98" s="569"/>
      <c r="R98" s="569"/>
      <c r="S98" s="569"/>
      <c r="T98" s="569"/>
      <c r="U98" s="569"/>
      <c r="V98" s="569"/>
      <c r="W98" s="569"/>
      <c r="X98" s="569"/>
      <c r="Y98" s="569"/>
      <c r="Z98" s="569"/>
      <c r="AA98" s="569"/>
      <c r="AB98" s="569"/>
      <c r="AC98" s="569"/>
      <c r="AD98" s="569"/>
      <c r="AE98" s="72" t="s">
        <v>141</v>
      </c>
      <c r="AF98" s="72"/>
      <c r="AG98" s="72"/>
      <c r="AH98" s="72"/>
    </row>
    <row r="99" spans="1:37" ht="20.100000000000001" customHeight="1">
      <c r="A99" s="35"/>
      <c r="B99" s="560"/>
      <c r="C99" s="560"/>
      <c r="D99" s="560"/>
      <c r="E99" s="560"/>
      <c r="G99" s="72"/>
      <c r="H99" s="72"/>
      <c r="I99" s="72"/>
      <c r="J99" s="569" t="s">
        <v>142</v>
      </c>
      <c r="K99" s="569"/>
      <c r="L99" s="569"/>
      <c r="M99" s="569"/>
      <c r="N99" s="569"/>
      <c r="O99" s="569"/>
      <c r="P99" s="569"/>
      <c r="Q99" s="569"/>
      <c r="R99" s="569"/>
      <c r="S99" s="569"/>
      <c r="T99" s="569"/>
      <c r="U99" s="569"/>
      <c r="V99" s="569"/>
      <c r="W99" s="569"/>
      <c r="X99" s="569"/>
      <c r="Y99" s="569"/>
      <c r="Z99" s="569"/>
      <c r="AA99" s="569"/>
      <c r="AB99" s="569"/>
      <c r="AC99" s="569"/>
      <c r="AD99" s="569"/>
      <c r="AE99" s="72"/>
      <c r="AF99" s="72"/>
      <c r="AG99" s="72"/>
      <c r="AH99" s="72"/>
    </row>
    <row r="100" spans="1:37" ht="20.100000000000001" customHeight="1">
      <c r="A100" s="35"/>
      <c r="B100" s="114"/>
      <c r="C100" s="114"/>
      <c r="D100" s="114"/>
      <c r="E100" s="114"/>
      <c r="G100" s="72"/>
      <c r="H100" s="72"/>
      <c r="I100" s="72"/>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72"/>
      <c r="AF100" s="72"/>
      <c r="AG100" s="72"/>
      <c r="AH100" s="72"/>
    </row>
    <row r="101" spans="1:37" ht="24.95" customHeight="1">
      <c r="A101" s="35" t="s">
        <v>143</v>
      </c>
      <c r="B101" s="113" t="s">
        <v>144</v>
      </c>
      <c r="D101" s="114"/>
      <c r="E101" s="114"/>
      <c r="G101" s="114"/>
      <c r="H101" s="114"/>
      <c r="I101" s="114"/>
      <c r="J101" s="114"/>
      <c r="K101" s="114"/>
      <c r="L101" s="114"/>
      <c r="M101" s="114"/>
      <c r="N101" s="114"/>
      <c r="O101" s="114"/>
      <c r="P101" s="114"/>
      <c r="Q101" s="114"/>
      <c r="R101" s="114"/>
      <c r="S101" s="114"/>
    </row>
    <row r="102" spans="1:37" ht="15" customHeight="1">
      <c r="A102" s="35"/>
      <c r="B102" s="113"/>
      <c r="D102" s="114"/>
      <c r="E102" s="114"/>
      <c r="G102" s="114"/>
      <c r="H102" s="114"/>
      <c r="I102" s="114"/>
      <c r="J102" s="114"/>
      <c r="K102" s="114"/>
      <c r="L102" s="114"/>
      <c r="M102" s="114"/>
      <c r="N102" s="114"/>
      <c r="O102" s="114"/>
      <c r="P102" s="114"/>
      <c r="Q102" s="114"/>
      <c r="R102" s="114"/>
      <c r="S102" s="114"/>
    </row>
    <row r="103" spans="1:37" ht="24.95" customHeight="1">
      <c r="A103" s="35"/>
      <c r="B103" s="113"/>
      <c r="D103" s="114"/>
      <c r="E103" s="114"/>
      <c r="G103" s="114"/>
      <c r="J103" s="566" t="str">
        <f>IF(AK103&lt;=1.1,IF(AK103&gt;=0.9,"☑","□"),"□")</f>
        <v>□</v>
      </c>
      <c r="K103" s="566"/>
      <c r="L103" s="113" t="s">
        <v>1469</v>
      </c>
      <c r="M103" s="114"/>
      <c r="N103" s="114"/>
      <c r="O103" s="114"/>
      <c r="P103" s="114"/>
      <c r="Q103" s="114"/>
      <c r="R103" s="114"/>
      <c r="S103" s="114"/>
      <c r="T103" s="114"/>
      <c r="U103" s="114"/>
      <c r="V103" s="114"/>
      <c r="AK103" s="174" t="str">
        <f>IFERROR(M52/Z52,"")</f>
        <v/>
      </c>
    </row>
    <row r="104" spans="1:37" ht="24.95" customHeight="1">
      <c r="A104" s="35"/>
      <c r="B104" s="113"/>
      <c r="C104" s="44" t="s">
        <v>145</v>
      </c>
      <c r="D104" s="114"/>
      <c r="E104" s="114"/>
      <c r="G104" s="114"/>
      <c r="J104" s="566" t="str">
        <f>IF(AK104&lt;=1.1,IF(AK104&gt;=0.9,"☑","□"),"□")</f>
        <v>□</v>
      </c>
      <c r="K104" s="566"/>
      <c r="L104" s="41" t="s">
        <v>1470</v>
      </c>
      <c r="M104" s="114"/>
      <c r="N104" s="114"/>
      <c r="O104" s="114"/>
      <c r="P104" s="114"/>
      <c r="Q104" s="114"/>
      <c r="R104" s="114"/>
      <c r="S104" s="114"/>
      <c r="T104" s="114"/>
      <c r="U104" s="114"/>
      <c r="V104" s="114"/>
      <c r="AK104" s="174" t="str">
        <f>IFERROR(M86/Z86,"")</f>
        <v/>
      </c>
    </row>
    <row r="105" spans="1:37" ht="24.95" customHeight="1">
      <c r="A105" s="35"/>
      <c r="B105" s="113"/>
      <c r="D105" s="114"/>
      <c r="E105" s="114"/>
      <c r="G105" s="114"/>
      <c r="J105" s="566" t="str">
        <f>IF(AK105&lt;=1.1,IF(AK105&gt;=0.9,"☑","□"),"□")</f>
        <v>□</v>
      </c>
      <c r="K105" s="566"/>
      <c r="L105" s="41" t="s">
        <v>1471</v>
      </c>
      <c r="M105" s="114"/>
      <c r="N105" s="114"/>
      <c r="O105" s="114"/>
      <c r="P105" s="114"/>
      <c r="Q105" s="114"/>
      <c r="R105" s="114"/>
      <c r="S105" s="114"/>
      <c r="T105" s="114"/>
      <c r="U105" s="114"/>
      <c r="V105" s="114"/>
      <c r="AK105" s="174" t="str">
        <f>IFERROR(M84/Z84,"")</f>
        <v/>
      </c>
    </row>
    <row r="106" spans="1:37" ht="24.95" customHeight="1">
      <c r="A106" s="35"/>
      <c r="B106" s="113"/>
      <c r="D106" s="114"/>
      <c r="E106" s="114"/>
      <c r="G106" s="114"/>
      <c r="J106" s="566" t="str">
        <f>IF(AK106&lt;=1.1,IF(AK106&gt;=0.9,"☑","□"),"□")</f>
        <v>□</v>
      </c>
      <c r="K106" s="566"/>
      <c r="L106" s="113" t="s">
        <v>1472</v>
      </c>
      <c r="M106" s="114"/>
      <c r="N106" s="114"/>
      <c r="O106" s="114"/>
      <c r="P106" s="114"/>
      <c r="Q106" s="114"/>
      <c r="R106" s="114"/>
      <c r="S106" s="114"/>
      <c r="T106" s="114"/>
      <c r="U106" s="114"/>
      <c r="V106" s="114"/>
      <c r="AK106" s="174" t="str">
        <f>IFERROR(M92/Z92,"")</f>
        <v/>
      </c>
    </row>
    <row r="107" spans="1:37" ht="24.95" customHeight="1">
      <c r="A107" s="35"/>
      <c r="B107" s="113"/>
      <c r="D107" s="114"/>
      <c r="E107" s="114"/>
      <c r="G107" s="114"/>
      <c r="J107" s="41" t="s">
        <v>146</v>
      </c>
      <c r="K107" s="162"/>
      <c r="L107" s="113"/>
      <c r="M107" s="114"/>
      <c r="N107" s="114"/>
      <c r="O107" s="114"/>
      <c r="P107" s="114"/>
      <c r="Q107" s="114"/>
      <c r="R107" s="114"/>
      <c r="S107" s="114"/>
      <c r="T107" s="114"/>
      <c r="U107" s="114"/>
      <c r="V107" s="114"/>
      <c r="AK107" s="174"/>
    </row>
    <row r="108" spans="1:37" ht="15" customHeight="1">
      <c r="A108" s="35"/>
      <c r="B108" s="113"/>
      <c r="D108" s="114"/>
      <c r="E108" s="114"/>
      <c r="G108" s="114"/>
      <c r="H108" s="114"/>
      <c r="I108" s="114"/>
      <c r="J108" s="114"/>
      <c r="K108" s="114"/>
      <c r="L108" s="114"/>
      <c r="M108" s="114"/>
      <c r="N108" s="114"/>
      <c r="O108" s="114"/>
      <c r="P108" s="114"/>
      <c r="Q108" s="114"/>
      <c r="R108" s="114"/>
      <c r="S108" s="114"/>
    </row>
    <row r="109" spans="1:37" ht="24.95" customHeight="1">
      <c r="A109" s="35" t="s">
        <v>147</v>
      </c>
      <c r="B109" s="113" t="s">
        <v>148</v>
      </c>
      <c r="D109" s="114"/>
      <c r="E109" s="114"/>
      <c r="G109" s="114"/>
      <c r="H109" s="114"/>
      <c r="I109" s="114"/>
      <c r="J109" s="114"/>
      <c r="K109" s="114"/>
      <c r="L109" s="114"/>
      <c r="M109" s="114"/>
      <c r="N109" s="114"/>
      <c r="O109" s="114"/>
      <c r="P109" s="114"/>
      <c r="Q109" s="114"/>
      <c r="R109" s="114"/>
      <c r="S109" s="114"/>
    </row>
    <row r="110" spans="1:37" ht="24.95" customHeight="1">
      <c r="A110" s="35"/>
      <c r="B110" s="44" t="s">
        <v>149</v>
      </c>
      <c r="E110" s="114"/>
      <c r="F110" s="114"/>
      <c r="G110" s="114"/>
      <c r="H110" s="114"/>
      <c r="I110" s="114"/>
      <c r="J110" s="114"/>
      <c r="K110" s="114"/>
      <c r="L110" s="114"/>
      <c r="M110" s="114"/>
      <c r="N110" s="114"/>
      <c r="O110" s="114"/>
    </row>
    <row r="111" spans="1:37" ht="24.95" customHeight="1">
      <c r="A111" s="35"/>
      <c r="D111" s="553" t="str">
        <f>IFERROR(IF(OR(AK34*AK37*AK89=0,M92&lt;=0),"算定不可",(VLOOKUP("該当",'リスト（外来）'!J:L,3,FALSE))),"")</f>
        <v>外来・在宅ベースアップ評価料（Ⅱ）1</v>
      </c>
      <c r="E111" s="553"/>
      <c r="F111" s="553"/>
      <c r="G111" s="553"/>
      <c r="H111" s="553"/>
      <c r="I111" s="553"/>
      <c r="J111" s="553"/>
      <c r="K111" s="553"/>
      <c r="L111" s="553"/>
      <c r="M111" s="553"/>
      <c r="N111" s="553"/>
      <c r="O111" s="553"/>
      <c r="P111" s="553"/>
      <c r="R111" s="553" t="str">
        <f>IFERROR(IF(OR(AK34*AK37*AK89=0,M92&lt;=0),"算定不可",(VLOOKUP("該当",'リスト（外来）'!J:N,4,FALSE))),"")</f>
        <v>歯科外来・在宅ベースアップ評価料（Ⅱ）1</v>
      </c>
      <c r="S111" s="553"/>
      <c r="T111" s="553"/>
      <c r="U111" s="553"/>
      <c r="V111" s="553"/>
      <c r="W111" s="553"/>
      <c r="X111" s="553"/>
      <c r="Y111" s="553"/>
      <c r="Z111" s="553"/>
      <c r="AA111" s="553"/>
      <c r="AB111" s="553"/>
      <c r="AC111" s="553"/>
      <c r="AD111" s="553"/>
      <c r="AK111" s="170">
        <f>IFERROR(VLOOKUP(D111,'リスト（外来）'!L:N,3,FALSE),0)</f>
        <v>1</v>
      </c>
    </row>
    <row r="112" spans="1:37" ht="24.95" customHeight="1">
      <c r="A112" s="35"/>
      <c r="B112" s="44" t="s">
        <v>150</v>
      </c>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row>
    <row r="113" spans="1:40" ht="24.95" customHeight="1">
      <c r="A113" s="35"/>
      <c r="D113" s="557" t="s">
        <v>151</v>
      </c>
      <c r="E113" s="558"/>
      <c r="F113" s="555" t="s">
        <v>152</v>
      </c>
      <c r="G113" s="555"/>
      <c r="H113" s="555"/>
      <c r="I113" s="555"/>
      <c r="J113" s="555"/>
      <c r="K113" s="555"/>
      <c r="L113" s="555"/>
      <c r="M113" s="555"/>
      <c r="N113" s="555"/>
      <c r="O113" s="555"/>
      <c r="P113" s="556"/>
      <c r="Q113" s="114"/>
      <c r="R113" s="557" t="s">
        <v>151</v>
      </c>
      <c r="S113" s="558"/>
      <c r="T113" s="555" t="s">
        <v>152</v>
      </c>
      <c r="U113" s="555"/>
      <c r="V113" s="555"/>
      <c r="W113" s="555"/>
      <c r="X113" s="555"/>
      <c r="Y113" s="555"/>
      <c r="Z113" s="555"/>
      <c r="AA113" s="555"/>
      <c r="AB113" s="555"/>
      <c r="AC113" s="555"/>
      <c r="AD113" s="556"/>
      <c r="AK113" s="170">
        <v>1</v>
      </c>
      <c r="AL113" s="171">
        <v>1</v>
      </c>
      <c r="AM113" s="171">
        <v>1</v>
      </c>
      <c r="AN113" s="171">
        <v>1</v>
      </c>
    </row>
    <row r="114" spans="1:40" ht="24.95" customHeight="1">
      <c r="A114" s="35"/>
      <c r="B114" s="113"/>
      <c r="C114" s="114"/>
      <c r="D114" s="557" t="s">
        <v>151</v>
      </c>
      <c r="E114" s="558"/>
      <c r="F114" s="555" t="s">
        <v>153</v>
      </c>
      <c r="G114" s="555"/>
      <c r="H114" s="555"/>
      <c r="I114" s="555"/>
      <c r="J114" s="555"/>
      <c r="K114" s="555"/>
      <c r="L114" s="555"/>
      <c r="M114" s="555"/>
      <c r="N114" s="555"/>
      <c r="O114" s="555"/>
      <c r="P114" s="556"/>
      <c r="R114" s="557" t="s">
        <v>151</v>
      </c>
      <c r="S114" s="558"/>
      <c r="T114" s="555" t="s">
        <v>154</v>
      </c>
      <c r="U114" s="555"/>
      <c r="V114" s="555"/>
      <c r="W114" s="555"/>
      <c r="X114" s="555"/>
      <c r="Y114" s="555"/>
      <c r="Z114" s="555"/>
      <c r="AA114" s="555"/>
      <c r="AB114" s="555"/>
      <c r="AC114" s="555"/>
      <c r="AD114" s="556"/>
      <c r="AK114" s="170">
        <v>1</v>
      </c>
      <c r="AL114" s="171">
        <f>IF(AK$111&gt;=AK114,1,0)</f>
        <v>1</v>
      </c>
    </row>
    <row r="115" spans="1:40" ht="24.95" customHeight="1">
      <c r="A115" s="35"/>
      <c r="B115" s="113"/>
      <c r="C115" s="114"/>
      <c r="D115" s="557" t="s">
        <v>151</v>
      </c>
      <c r="E115" s="558"/>
      <c r="F115" s="555" t="s">
        <v>155</v>
      </c>
      <c r="G115" s="555"/>
      <c r="H115" s="555"/>
      <c r="I115" s="555"/>
      <c r="J115" s="555"/>
      <c r="K115" s="555"/>
      <c r="L115" s="555"/>
      <c r="M115" s="555"/>
      <c r="N115" s="555"/>
      <c r="O115" s="555"/>
      <c r="P115" s="556"/>
      <c r="R115" s="557" t="s">
        <v>151</v>
      </c>
      <c r="S115" s="558"/>
      <c r="T115" s="555" t="s">
        <v>156</v>
      </c>
      <c r="U115" s="555"/>
      <c r="V115" s="555"/>
      <c r="W115" s="555"/>
      <c r="X115" s="555"/>
      <c r="Y115" s="555"/>
      <c r="Z115" s="555"/>
      <c r="AA115" s="555"/>
      <c r="AB115" s="555"/>
      <c r="AC115" s="555"/>
      <c r="AD115" s="556"/>
      <c r="AK115" s="170">
        <v>2</v>
      </c>
      <c r="AL115" s="171">
        <f>IF(AK$111&gt;=AK115,1,0)</f>
        <v>0</v>
      </c>
    </row>
    <row r="116" spans="1:40" ht="24.95" customHeight="1">
      <c r="A116" s="35"/>
      <c r="B116" s="113"/>
      <c r="C116" s="114"/>
      <c r="D116" s="557" t="s">
        <v>151</v>
      </c>
      <c r="E116" s="558"/>
      <c r="F116" s="555" t="s">
        <v>157</v>
      </c>
      <c r="G116" s="555"/>
      <c r="H116" s="555"/>
      <c r="I116" s="555"/>
      <c r="J116" s="555"/>
      <c r="K116" s="555"/>
      <c r="L116" s="555"/>
      <c r="M116" s="555"/>
      <c r="N116" s="555"/>
      <c r="O116" s="555"/>
      <c r="P116" s="556"/>
      <c r="R116" s="557" t="s">
        <v>151</v>
      </c>
      <c r="S116" s="558"/>
      <c r="T116" s="555" t="s">
        <v>158</v>
      </c>
      <c r="U116" s="555"/>
      <c r="V116" s="555"/>
      <c r="W116" s="555"/>
      <c r="X116" s="555"/>
      <c r="Y116" s="555"/>
      <c r="Z116" s="555"/>
      <c r="AA116" s="555"/>
      <c r="AB116" s="555"/>
      <c r="AC116" s="555"/>
      <c r="AD116" s="556"/>
      <c r="AK116" s="170">
        <v>3</v>
      </c>
      <c r="AL116" s="171">
        <f>IF(AK$111&gt;=AK116,1,0)</f>
        <v>0</v>
      </c>
    </row>
    <row r="117" spans="1:40" ht="24.95" customHeight="1">
      <c r="A117" s="35"/>
      <c r="B117" s="113"/>
      <c r="C117" s="114"/>
      <c r="D117" s="557" t="s">
        <v>151</v>
      </c>
      <c r="E117" s="558"/>
      <c r="F117" s="555" t="s">
        <v>159</v>
      </c>
      <c r="G117" s="555"/>
      <c r="H117" s="555"/>
      <c r="I117" s="555"/>
      <c r="J117" s="555"/>
      <c r="K117" s="555"/>
      <c r="L117" s="555"/>
      <c r="M117" s="555"/>
      <c r="N117" s="555"/>
      <c r="O117" s="555"/>
      <c r="P117" s="556"/>
      <c r="R117" s="557" t="s">
        <v>151</v>
      </c>
      <c r="S117" s="558"/>
      <c r="T117" s="555" t="s">
        <v>160</v>
      </c>
      <c r="U117" s="555"/>
      <c r="V117" s="555"/>
      <c r="W117" s="555"/>
      <c r="X117" s="555"/>
      <c r="Y117" s="555"/>
      <c r="Z117" s="555"/>
      <c r="AA117" s="555"/>
      <c r="AB117" s="555"/>
      <c r="AC117" s="555"/>
      <c r="AD117" s="556"/>
      <c r="AK117" s="170">
        <v>4</v>
      </c>
      <c r="AL117" s="171">
        <f t="shared" ref="AL117:AL121" si="0">IF(AK$111&gt;=AK117,1,0)</f>
        <v>0</v>
      </c>
    </row>
    <row r="118" spans="1:40" ht="24.95" customHeight="1">
      <c r="A118" s="35"/>
      <c r="B118" s="113"/>
      <c r="C118" s="114"/>
      <c r="D118" s="557" t="s">
        <v>151</v>
      </c>
      <c r="E118" s="558"/>
      <c r="F118" s="555" t="s">
        <v>161</v>
      </c>
      <c r="G118" s="555"/>
      <c r="H118" s="555"/>
      <c r="I118" s="555"/>
      <c r="J118" s="555"/>
      <c r="K118" s="555"/>
      <c r="L118" s="555"/>
      <c r="M118" s="555"/>
      <c r="N118" s="555"/>
      <c r="O118" s="555"/>
      <c r="P118" s="556"/>
      <c r="R118" s="557" t="s">
        <v>151</v>
      </c>
      <c r="S118" s="558"/>
      <c r="T118" s="555" t="s">
        <v>162</v>
      </c>
      <c r="U118" s="555"/>
      <c r="V118" s="555"/>
      <c r="W118" s="555"/>
      <c r="X118" s="555"/>
      <c r="Y118" s="555"/>
      <c r="Z118" s="555"/>
      <c r="AA118" s="555"/>
      <c r="AB118" s="555"/>
      <c r="AC118" s="555"/>
      <c r="AD118" s="556"/>
      <c r="AK118" s="170">
        <v>5</v>
      </c>
      <c r="AL118" s="171">
        <f t="shared" si="0"/>
        <v>0</v>
      </c>
    </row>
    <row r="119" spans="1:40" ht="24.95" customHeight="1">
      <c r="A119" s="35"/>
      <c r="B119" s="113"/>
      <c r="C119" s="114"/>
      <c r="D119" s="557" t="s">
        <v>151</v>
      </c>
      <c r="E119" s="558"/>
      <c r="F119" s="555" t="s">
        <v>163</v>
      </c>
      <c r="G119" s="555"/>
      <c r="H119" s="555"/>
      <c r="I119" s="555"/>
      <c r="J119" s="555"/>
      <c r="K119" s="555"/>
      <c r="L119" s="555"/>
      <c r="M119" s="555"/>
      <c r="N119" s="555"/>
      <c r="O119" s="555"/>
      <c r="P119" s="556"/>
      <c r="R119" s="557" t="s">
        <v>151</v>
      </c>
      <c r="S119" s="558"/>
      <c r="T119" s="555" t="s">
        <v>164</v>
      </c>
      <c r="U119" s="555"/>
      <c r="V119" s="555"/>
      <c r="W119" s="555"/>
      <c r="X119" s="555"/>
      <c r="Y119" s="555"/>
      <c r="Z119" s="555"/>
      <c r="AA119" s="555"/>
      <c r="AB119" s="555"/>
      <c r="AC119" s="555"/>
      <c r="AD119" s="556"/>
      <c r="AK119" s="170">
        <v>6</v>
      </c>
      <c r="AL119" s="171">
        <f t="shared" si="0"/>
        <v>0</v>
      </c>
    </row>
    <row r="120" spans="1:40" ht="24.95" customHeight="1">
      <c r="A120" s="35"/>
      <c r="B120" s="113"/>
      <c r="C120" s="114"/>
      <c r="D120" s="557" t="s">
        <v>151</v>
      </c>
      <c r="E120" s="558"/>
      <c r="F120" s="555" t="s">
        <v>165</v>
      </c>
      <c r="G120" s="555"/>
      <c r="H120" s="555"/>
      <c r="I120" s="555"/>
      <c r="J120" s="555"/>
      <c r="K120" s="555"/>
      <c r="L120" s="555"/>
      <c r="M120" s="555"/>
      <c r="N120" s="555"/>
      <c r="O120" s="555"/>
      <c r="P120" s="556"/>
      <c r="R120" s="557" t="s">
        <v>151</v>
      </c>
      <c r="S120" s="558"/>
      <c r="T120" s="555" t="s">
        <v>166</v>
      </c>
      <c r="U120" s="555"/>
      <c r="V120" s="555"/>
      <c r="W120" s="555"/>
      <c r="X120" s="555"/>
      <c r="Y120" s="555"/>
      <c r="Z120" s="555"/>
      <c r="AA120" s="555"/>
      <c r="AB120" s="555"/>
      <c r="AC120" s="555"/>
      <c r="AD120" s="556"/>
      <c r="AK120" s="170">
        <v>7</v>
      </c>
      <c r="AL120" s="171">
        <f t="shared" si="0"/>
        <v>0</v>
      </c>
    </row>
    <row r="121" spans="1:40" ht="24.95" customHeight="1">
      <c r="A121" s="35"/>
      <c r="B121" s="113"/>
      <c r="C121" s="114"/>
      <c r="D121" s="557" t="s">
        <v>151</v>
      </c>
      <c r="E121" s="558"/>
      <c r="F121" s="555" t="s">
        <v>167</v>
      </c>
      <c r="G121" s="555"/>
      <c r="H121" s="555"/>
      <c r="I121" s="555"/>
      <c r="J121" s="555"/>
      <c r="K121" s="555"/>
      <c r="L121" s="555"/>
      <c r="M121" s="555"/>
      <c r="N121" s="555"/>
      <c r="O121" s="555"/>
      <c r="P121" s="556"/>
      <c r="R121" s="557" t="s">
        <v>151</v>
      </c>
      <c r="S121" s="558"/>
      <c r="T121" s="555" t="s">
        <v>168</v>
      </c>
      <c r="U121" s="555"/>
      <c r="V121" s="555"/>
      <c r="W121" s="555"/>
      <c r="X121" s="555"/>
      <c r="Y121" s="555"/>
      <c r="Z121" s="555"/>
      <c r="AA121" s="555"/>
      <c r="AB121" s="555"/>
      <c r="AC121" s="555"/>
      <c r="AD121" s="556"/>
      <c r="AK121" s="170">
        <v>8</v>
      </c>
      <c r="AL121" s="171">
        <f t="shared" si="0"/>
        <v>0</v>
      </c>
    </row>
    <row r="122" spans="1:40" ht="24.95" customHeight="1">
      <c r="A122" s="35"/>
      <c r="B122" s="113"/>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row>
    <row r="123" spans="1:40" ht="24.95" customHeight="1">
      <c r="A123" s="44" t="s">
        <v>44</v>
      </c>
    </row>
    <row r="124" spans="1:40" ht="24.95" customHeight="1">
      <c r="A124" s="44" t="s">
        <v>45</v>
      </c>
    </row>
    <row r="125" spans="1:40" ht="24.95" customHeight="1">
      <c r="A125" s="44" t="s">
        <v>169</v>
      </c>
    </row>
    <row r="126" spans="1:40" ht="24.95" customHeight="1">
      <c r="A126" s="44" t="s">
        <v>170</v>
      </c>
    </row>
    <row r="127" spans="1:40" ht="24.95" customHeight="1">
      <c r="A127" s="44" t="s">
        <v>50</v>
      </c>
    </row>
    <row r="128" spans="1:40" ht="24.95" customHeight="1">
      <c r="A128" s="44" t="s">
        <v>51</v>
      </c>
    </row>
    <row r="129" spans="1:37" ht="24.95" customHeight="1">
      <c r="A129" s="44" t="s">
        <v>52</v>
      </c>
    </row>
    <row r="130" spans="1:37" ht="24.95" customHeight="1">
      <c r="A130" s="44" t="s">
        <v>171</v>
      </c>
    </row>
    <row r="131" spans="1:37" ht="24.95" customHeight="1">
      <c r="A131" s="44" t="s">
        <v>172</v>
      </c>
      <c r="AK131" s="175"/>
    </row>
    <row r="132" spans="1:37" ht="24.95" customHeight="1">
      <c r="A132" s="34" t="s">
        <v>173</v>
      </c>
    </row>
    <row r="133" spans="1:37" ht="24.95" customHeight="1">
      <c r="A133" s="44" t="s">
        <v>174</v>
      </c>
    </row>
    <row r="134" spans="1:37" ht="24.95" customHeight="1">
      <c r="B134" s="44" t="s">
        <v>175</v>
      </c>
    </row>
    <row r="135" spans="1:37" ht="24.95" customHeight="1">
      <c r="A135" s="44" t="s">
        <v>1485</v>
      </c>
    </row>
    <row r="136" spans="1:37" ht="24.95" customHeight="1">
      <c r="A136" s="44" t="s">
        <v>176</v>
      </c>
    </row>
    <row r="137" spans="1:37" ht="24.95" customHeight="1">
      <c r="A137" s="44" t="s">
        <v>177</v>
      </c>
    </row>
    <row r="138" spans="1:37" ht="24.95" customHeight="1">
      <c r="A138" s="44" t="s">
        <v>178</v>
      </c>
    </row>
    <row r="139" spans="1:37" ht="24.95" customHeight="1">
      <c r="A139" s="44" t="s">
        <v>1486</v>
      </c>
    </row>
    <row r="140" spans="1:37" ht="24.95" customHeight="1">
      <c r="A140" s="44" t="s">
        <v>179</v>
      </c>
    </row>
    <row r="141" spans="1:37" ht="24.95" customHeight="1">
      <c r="A141" s="44" t="s">
        <v>180</v>
      </c>
    </row>
    <row r="142" spans="1:37" ht="24.95" customHeight="1">
      <c r="A142" s="44" t="s">
        <v>181</v>
      </c>
    </row>
    <row r="143" spans="1:37" ht="24.95" customHeight="1">
      <c r="A143" s="44" t="s">
        <v>182</v>
      </c>
    </row>
    <row r="144" spans="1:37" ht="24.95" customHeight="1">
      <c r="A144" s="44" t="s">
        <v>183</v>
      </c>
    </row>
    <row r="145" spans="1:42" ht="24.95" customHeight="1">
      <c r="A145" s="44" t="s">
        <v>184</v>
      </c>
    </row>
    <row r="146" spans="1:42" ht="24.95" customHeight="1">
      <c r="A146" s="44" t="s">
        <v>185</v>
      </c>
    </row>
    <row r="147" spans="1:42" ht="24.95" customHeight="1">
      <c r="A147" s="44" t="s">
        <v>186</v>
      </c>
    </row>
    <row r="148" spans="1:42" ht="24.95" customHeight="1">
      <c r="A148" s="44" t="s">
        <v>187</v>
      </c>
    </row>
    <row r="149" spans="1:42" ht="24.95" customHeight="1">
      <c r="A149" s="44" t="s">
        <v>188</v>
      </c>
    </row>
    <row r="150" spans="1:42" ht="24.95" customHeight="1">
      <c r="A150" s="44" t="s">
        <v>1487</v>
      </c>
    </row>
    <row r="151" spans="1:42" ht="24.95" customHeight="1">
      <c r="A151" s="44" t="s">
        <v>189</v>
      </c>
    </row>
    <row r="152" spans="1:42" ht="24.95" customHeight="1">
      <c r="A152" s="44" t="s">
        <v>190</v>
      </c>
    </row>
    <row r="153" spans="1:42" ht="24.95" customHeight="1">
      <c r="A153" s="44" t="s">
        <v>1488</v>
      </c>
    </row>
    <row r="154" spans="1:42" ht="24.95" customHeight="1">
      <c r="A154" s="44" t="s">
        <v>191</v>
      </c>
    </row>
    <row r="155" spans="1:42" ht="24.95" customHeight="1">
      <c r="A155" s="44" t="s">
        <v>192</v>
      </c>
    </row>
    <row r="156" spans="1:42" ht="24.95" customHeight="1">
      <c r="A156" s="44" t="s">
        <v>1489</v>
      </c>
    </row>
    <row r="157" spans="1:42" ht="24.95" customHeight="1">
      <c r="A157" s="44" t="s">
        <v>193</v>
      </c>
    </row>
    <row r="158" spans="1:42" ht="24.95" customHeight="1">
      <c r="A158" s="44" t="s">
        <v>1490</v>
      </c>
    </row>
    <row r="159" spans="1:42" s="34" customFormat="1" ht="24.95" customHeight="1">
      <c r="A159" s="34" t="s">
        <v>194</v>
      </c>
      <c r="F159" s="113"/>
      <c r="AK159" s="170"/>
      <c r="AL159" s="172"/>
      <c r="AM159" s="172"/>
      <c r="AN159" s="172"/>
      <c r="AO159" s="172"/>
      <c r="AP159" s="172"/>
    </row>
    <row r="160" spans="1:42" ht="24.95" customHeight="1">
      <c r="A160" s="44" t="s">
        <v>195</v>
      </c>
    </row>
    <row r="161" spans="1:42" ht="24.95" customHeight="1">
      <c r="A161" s="44" t="s">
        <v>196</v>
      </c>
    </row>
    <row r="162" spans="1:42" ht="24.95" customHeight="1">
      <c r="A162" s="44" t="s">
        <v>197</v>
      </c>
    </row>
    <row r="163" spans="1:42" ht="24.95" customHeight="1">
      <c r="A163" s="44" t="s">
        <v>1491</v>
      </c>
    </row>
    <row r="164" spans="1:42" ht="24.95" customHeight="1">
      <c r="A164" s="44" t="s">
        <v>198</v>
      </c>
    </row>
    <row r="165" spans="1:42" ht="24.95" customHeight="1">
      <c r="A165" s="44" t="s">
        <v>1492</v>
      </c>
    </row>
    <row r="166" spans="1:42" ht="24.95" customHeight="1">
      <c r="A166" s="44" t="s">
        <v>199</v>
      </c>
    </row>
    <row r="167" spans="1:42" ht="24.95" customHeight="1">
      <c r="A167" s="44" t="s">
        <v>200</v>
      </c>
    </row>
    <row r="168" spans="1:42" ht="24.95" customHeight="1">
      <c r="A168" s="44" t="s">
        <v>201</v>
      </c>
    </row>
    <row r="169" spans="1:42" ht="24.95" customHeight="1">
      <c r="A169" s="44" t="s">
        <v>202</v>
      </c>
    </row>
    <row r="170" spans="1:42" ht="24.95" customHeight="1">
      <c r="A170" s="44" t="s">
        <v>203</v>
      </c>
    </row>
    <row r="171" spans="1:42" s="34" customFormat="1" ht="24.95" customHeight="1">
      <c r="A171" s="34" t="s">
        <v>204</v>
      </c>
      <c r="F171" s="113"/>
      <c r="AK171" s="170"/>
      <c r="AL171" s="172"/>
      <c r="AM171" s="172"/>
      <c r="AN171" s="172"/>
      <c r="AO171" s="172"/>
      <c r="AP171" s="172"/>
    </row>
    <row r="172" spans="1:42" s="34" customFormat="1" ht="24.95" customHeight="1">
      <c r="A172" s="34" t="s">
        <v>205</v>
      </c>
      <c r="F172" s="113"/>
      <c r="AK172" s="170"/>
      <c r="AL172" s="172"/>
      <c r="AM172" s="172"/>
      <c r="AN172" s="172"/>
      <c r="AO172" s="172"/>
      <c r="AP172" s="172"/>
    </row>
    <row r="173" spans="1:42" ht="24.95" customHeight="1">
      <c r="A173" s="34"/>
    </row>
    <row r="174" spans="1:42" ht="24.95" customHeight="1">
      <c r="A174" s="34"/>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row r="197" spans="6:37" ht="24.95" customHeight="1">
      <c r="F197" s="44"/>
      <c r="AK197" s="171"/>
    </row>
    <row r="198" spans="6:37" ht="24.95" customHeight="1">
      <c r="F198" s="44"/>
      <c r="AK198" s="171"/>
    </row>
    <row r="199" spans="6:37" ht="24.95" customHeight="1">
      <c r="F199" s="44"/>
      <c r="AK199" s="171"/>
    </row>
    <row r="200" spans="6:37" ht="24.95" customHeight="1">
      <c r="F200" s="44"/>
      <c r="AK200" s="171"/>
    </row>
    <row r="201" spans="6:37" ht="24.95" customHeight="1">
      <c r="F201" s="44"/>
      <c r="AK201" s="171"/>
    </row>
  </sheetData>
  <sheetProtection algorithmName="SHA-512" hashValue="oDTWd5bsNJMP1Up46xvOPVbswBkYP6Hvp/BjOVFg2BZzia7WbmykE6Nn66ktLxanN/mXw3IYZ0ambltjMavHRg==" saltValue="O8LlPrH76MfCl/a7HC0FhA==" spinCount="100000" sheet="1" objects="1" scenarios="1"/>
  <mergeCells count="109">
    <mergeCell ref="H20:K20"/>
    <mergeCell ref="L20:O20"/>
    <mergeCell ref="H21:K21"/>
    <mergeCell ref="H22:K22"/>
    <mergeCell ref="H23:K23"/>
    <mergeCell ref="L21:O23"/>
    <mergeCell ref="D114:E114"/>
    <mergeCell ref="F114:P114"/>
    <mergeCell ref="R114:S114"/>
    <mergeCell ref="L24:O26"/>
    <mergeCell ref="L27:O29"/>
    <mergeCell ref="L30:O32"/>
    <mergeCell ref="H29:K29"/>
    <mergeCell ref="H30:K30"/>
    <mergeCell ref="H31:K31"/>
    <mergeCell ref="H32:K32"/>
    <mergeCell ref="H24:K24"/>
    <mergeCell ref="H25:K25"/>
    <mergeCell ref="H26:K26"/>
    <mergeCell ref="H27:K27"/>
    <mergeCell ref="H28:K28"/>
    <mergeCell ref="M89:S89"/>
    <mergeCell ref="D113:E113"/>
    <mergeCell ref="F113:P113"/>
    <mergeCell ref="T114:AD114"/>
    <mergeCell ref="D115:E115"/>
    <mergeCell ref="F115:P115"/>
    <mergeCell ref="R115:S115"/>
    <mergeCell ref="T115:AD115"/>
    <mergeCell ref="D119:E119"/>
    <mergeCell ref="F119:P119"/>
    <mergeCell ref="R119:S119"/>
    <mergeCell ref="T119:AD119"/>
    <mergeCell ref="D116:E116"/>
    <mergeCell ref="F116:P116"/>
    <mergeCell ref="R116:S116"/>
    <mergeCell ref="T116:AD116"/>
    <mergeCell ref="D117:E117"/>
    <mergeCell ref="F117:P117"/>
    <mergeCell ref="R117:S117"/>
    <mergeCell ref="T117:AD117"/>
    <mergeCell ref="D118:E118"/>
    <mergeCell ref="F118:P118"/>
    <mergeCell ref="R118:S118"/>
    <mergeCell ref="T118:AD118"/>
    <mergeCell ref="R113:S113"/>
    <mergeCell ref="T113:AD113"/>
    <mergeCell ref="B94:E99"/>
    <mergeCell ref="J105:K105"/>
    <mergeCell ref="J104:K104"/>
    <mergeCell ref="J99:AD99"/>
    <mergeCell ref="J106:K106"/>
    <mergeCell ref="D111:P111"/>
    <mergeCell ref="R111:AD111"/>
    <mergeCell ref="M92:S92"/>
    <mergeCell ref="Z92:AF92"/>
    <mergeCell ref="Z89:AF89"/>
    <mergeCell ref="F94:AH94"/>
    <mergeCell ref="J103:K103"/>
    <mergeCell ref="F95:AH95"/>
    <mergeCell ref="J96:AD96"/>
    <mergeCell ref="J97:AD97"/>
    <mergeCell ref="J98:AD98"/>
    <mergeCell ref="N15:N16"/>
    <mergeCell ref="O15:P16"/>
    <mergeCell ref="Q15:Q16"/>
    <mergeCell ref="R15:S16"/>
    <mergeCell ref="M63:S63"/>
    <mergeCell ref="Z63:AF63"/>
    <mergeCell ref="M65:S65"/>
    <mergeCell ref="Z65:AF65"/>
    <mergeCell ref="M86:S86"/>
    <mergeCell ref="Z86:AF86"/>
    <mergeCell ref="M67:S67"/>
    <mergeCell ref="Z67:AF67"/>
    <mergeCell ref="M69:S69"/>
    <mergeCell ref="Z69:AF69"/>
    <mergeCell ref="M71:S71"/>
    <mergeCell ref="Z71:AF71"/>
    <mergeCell ref="M73:S73"/>
    <mergeCell ref="Z73:AF73"/>
    <mergeCell ref="M75:S75"/>
    <mergeCell ref="Z75:AF75"/>
    <mergeCell ref="M77:S77"/>
    <mergeCell ref="Z77:AF77"/>
    <mergeCell ref="A3:AJ3"/>
    <mergeCell ref="B5:G5"/>
    <mergeCell ref="H5:T5"/>
    <mergeCell ref="B6:G6"/>
    <mergeCell ref="H6:T6"/>
    <mergeCell ref="F120:P120"/>
    <mergeCell ref="F121:P121"/>
    <mergeCell ref="T120:AD120"/>
    <mergeCell ref="T121:AD121"/>
    <mergeCell ref="D120:E120"/>
    <mergeCell ref="D121:E121"/>
    <mergeCell ref="R120:S120"/>
    <mergeCell ref="R121:S121"/>
    <mergeCell ref="T15:T16"/>
    <mergeCell ref="U15:V16"/>
    <mergeCell ref="W15:W16"/>
    <mergeCell ref="M84:S84"/>
    <mergeCell ref="Z84:AF84"/>
    <mergeCell ref="J34:P34"/>
    <mergeCell ref="M52:S52"/>
    <mergeCell ref="Z52:AF52"/>
    <mergeCell ref="J15:J16"/>
    <mergeCell ref="K15:K16"/>
    <mergeCell ref="L15:M16"/>
  </mergeCells>
  <phoneticPr fontId="1"/>
  <conditionalFormatting sqref="D114:P121 R114:AD121">
    <cfRule type="expression" dxfId="41" priority="4">
      <formula>$AL114=0</formula>
    </cfRule>
  </conditionalFormatting>
  <conditionalFormatting sqref="F113:P113">
    <cfRule type="expression" dxfId="40" priority="2">
      <formula>$AL113=0</formula>
    </cfRule>
  </conditionalFormatting>
  <conditionalFormatting sqref="T113:AD113">
    <cfRule type="expression" dxfId="39" priority="1">
      <formula>$AL113=0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44" max="35" man="1"/>
    <brk id="9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116</xdr:row>
                    <xdr:rowOff>38100</xdr:rowOff>
                  </from>
                  <to>
                    <xdr:col>4</xdr:col>
                    <xdr:colOff>247650</xdr:colOff>
                    <xdr:row>116</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117</xdr:row>
                    <xdr:rowOff>38100</xdr:rowOff>
                  </from>
                  <to>
                    <xdr:col>4</xdr:col>
                    <xdr:colOff>247650</xdr:colOff>
                    <xdr:row>117</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118</xdr:row>
                    <xdr:rowOff>38100</xdr:rowOff>
                  </from>
                  <to>
                    <xdr:col>4</xdr:col>
                    <xdr:colOff>247650</xdr:colOff>
                    <xdr:row>118</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111</xdr:row>
                    <xdr:rowOff>304800</xdr:rowOff>
                  </from>
                  <to>
                    <xdr:col>5</xdr:col>
                    <xdr:colOff>0</xdr:colOff>
                    <xdr:row>121</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116</xdr:row>
                    <xdr:rowOff>38100</xdr:rowOff>
                  </from>
                  <to>
                    <xdr:col>18</xdr:col>
                    <xdr:colOff>247650</xdr:colOff>
                    <xdr:row>116</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117</xdr:row>
                    <xdr:rowOff>38100</xdr:rowOff>
                  </from>
                  <to>
                    <xdr:col>18</xdr:col>
                    <xdr:colOff>247650</xdr:colOff>
                    <xdr:row>117</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118</xdr:row>
                    <xdr:rowOff>38100</xdr:rowOff>
                  </from>
                  <to>
                    <xdr:col>18</xdr:col>
                    <xdr:colOff>247650</xdr:colOff>
                    <xdr:row>118</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111</xdr:row>
                    <xdr:rowOff>304800</xdr:rowOff>
                  </from>
                  <to>
                    <xdr:col>19</xdr:col>
                    <xdr:colOff>0</xdr:colOff>
                    <xdr:row>121</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119</xdr:row>
                    <xdr:rowOff>38100</xdr:rowOff>
                  </from>
                  <to>
                    <xdr:col>4</xdr:col>
                    <xdr:colOff>247650</xdr:colOff>
                    <xdr:row>119</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120</xdr:row>
                    <xdr:rowOff>38100</xdr:rowOff>
                  </from>
                  <to>
                    <xdr:col>4</xdr:col>
                    <xdr:colOff>247650</xdr:colOff>
                    <xdr:row>120</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119</xdr:row>
                    <xdr:rowOff>38100</xdr:rowOff>
                  </from>
                  <to>
                    <xdr:col>18</xdr:col>
                    <xdr:colOff>247650</xdr:colOff>
                    <xdr:row>119</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120</xdr:row>
                    <xdr:rowOff>38100</xdr:rowOff>
                  </from>
                  <to>
                    <xdr:col>18</xdr:col>
                    <xdr:colOff>247650</xdr:colOff>
                    <xdr:row>120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131" zoomScaleNormal="100" zoomScaleSheetLayoutView="100" workbookViewId="0">
      <selection activeCell="AD9" sqref="AD9"/>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2" t="s">
        <v>207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row>
    <row r="4" spans="1:39" ht="15" customHeight="1">
      <c r="A4" s="114"/>
      <c r="B4" s="114"/>
      <c r="C4" s="114"/>
      <c r="D4" s="114"/>
      <c r="E4" s="114"/>
      <c r="G4" s="114"/>
      <c r="H4" s="114"/>
      <c r="I4" s="114"/>
    </row>
    <row r="5" spans="1:39" ht="24.95" customHeight="1">
      <c r="A5" s="35" t="s">
        <v>28</v>
      </c>
      <c r="B5" s="549" t="s">
        <v>29</v>
      </c>
      <c r="C5" s="549"/>
      <c r="D5" s="549"/>
      <c r="E5" s="549"/>
      <c r="F5" s="549"/>
      <c r="G5" s="549"/>
      <c r="H5" s="584" t="str">
        <f>IF('様式95_外来・在宅ベースアップ評価料（Ⅰ）'!H5=0,"",'様式95_外来・在宅ベースアップ評価料（Ⅰ）'!H5)</f>
        <v>1234567</v>
      </c>
      <c r="I5" s="584"/>
      <c r="J5" s="584"/>
      <c r="K5" s="584"/>
      <c r="L5" s="584"/>
      <c r="M5" s="584"/>
      <c r="N5" s="584"/>
      <c r="O5" s="584"/>
      <c r="P5" s="584"/>
      <c r="Q5" s="584"/>
      <c r="R5" s="584"/>
      <c r="S5" s="584"/>
      <c r="T5" s="584"/>
    </row>
    <row r="6" spans="1:39" ht="24.95" customHeight="1">
      <c r="B6" s="549" t="s">
        <v>30</v>
      </c>
      <c r="C6" s="549"/>
      <c r="D6" s="549"/>
      <c r="E6" s="549"/>
      <c r="F6" s="549"/>
      <c r="G6" s="549"/>
      <c r="H6" s="554" t="str">
        <f>'様式95_外来・在宅ベースアップ評価料（Ⅰ）'!H6</f>
        <v>●●病院</v>
      </c>
      <c r="I6" s="554"/>
      <c r="J6" s="554"/>
      <c r="K6" s="554"/>
      <c r="L6" s="554"/>
      <c r="M6" s="554"/>
      <c r="N6" s="554"/>
      <c r="O6" s="554"/>
      <c r="P6" s="554"/>
      <c r="Q6" s="554"/>
      <c r="R6" s="554"/>
      <c r="S6" s="554"/>
      <c r="T6" s="554"/>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0"/>
      <c r="K10" s="559"/>
      <c r="L10" s="560" t="s">
        <v>61</v>
      </c>
      <c r="M10" s="560"/>
      <c r="N10" s="559"/>
      <c r="O10" s="560" t="s">
        <v>62</v>
      </c>
      <c r="P10" s="560"/>
      <c r="Q10" s="559"/>
      <c r="R10" s="560" t="s">
        <v>63</v>
      </c>
      <c r="S10" s="560"/>
      <c r="T10" s="559"/>
      <c r="U10" s="560" t="s">
        <v>64</v>
      </c>
      <c r="V10" s="560"/>
      <c r="W10" s="560"/>
      <c r="AK10" s="184">
        <v>3</v>
      </c>
      <c r="AM10" s="171" t="b">
        <v>1</v>
      </c>
    </row>
    <row r="11" spans="1:39" ht="24.95" customHeight="1">
      <c r="A11" s="35"/>
      <c r="B11" s="114"/>
      <c r="C11" s="114"/>
      <c r="D11" s="114"/>
      <c r="E11" s="114"/>
      <c r="F11" s="169"/>
      <c r="G11" s="113" t="s">
        <v>65</v>
      </c>
      <c r="H11" s="114"/>
      <c r="I11" s="114"/>
      <c r="J11" s="560"/>
      <c r="K11" s="559"/>
      <c r="L11" s="560"/>
      <c r="M11" s="560"/>
      <c r="N11" s="559"/>
      <c r="O11" s="560"/>
      <c r="P11" s="560"/>
      <c r="Q11" s="559"/>
      <c r="R11" s="560"/>
      <c r="S11" s="560"/>
      <c r="T11" s="559"/>
      <c r="U11" s="560"/>
      <c r="V11" s="560"/>
      <c r="W11" s="560"/>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70" t="s">
        <v>69</v>
      </c>
      <c r="H15" s="571"/>
      <c r="I15" s="571"/>
      <c r="J15" s="572"/>
      <c r="K15" s="573" t="s">
        <v>70</v>
      </c>
      <c r="L15" s="573"/>
      <c r="M15" s="573"/>
      <c r="N15" s="573"/>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70" t="s">
        <v>71</v>
      </c>
      <c r="H16" s="571"/>
      <c r="I16" s="571"/>
      <c r="J16" s="572"/>
      <c r="K16" s="574" t="s">
        <v>71</v>
      </c>
      <c r="L16" s="568"/>
      <c r="M16" s="568"/>
      <c r="N16" s="575"/>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70" t="s">
        <v>72</v>
      </c>
      <c r="H17" s="571"/>
      <c r="I17" s="571"/>
      <c r="J17" s="572"/>
      <c r="K17" s="576"/>
      <c r="L17" s="565"/>
      <c r="M17" s="565"/>
      <c r="N17" s="577"/>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70" t="s">
        <v>73</v>
      </c>
      <c r="H18" s="571"/>
      <c r="I18" s="571"/>
      <c r="J18" s="572"/>
      <c r="K18" s="578"/>
      <c r="L18" s="567"/>
      <c r="M18" s="567"/>
      <c r="N18" s="579"/>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70" t="s">
        <v>74</v>
      </c>
      <c r="H19" s="571"/>
      <c r="I19" s="571"/>
      <c r="J19" s="572"/>
      <c r="K19" s="574" t="s">
        <v>74</v>
      </c>
      <c r="L19" s="568"/>
      <c r="M19" s="568"/>
      <c r="N19" s="575"/>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70" t="s">
        <v>75</v>
      </c>
      <c r="H20" s="571"/>
      <c r="I20" s="571"/>
      <c r="J20" s="572"/>
      <c r="K20" s="576"/>
      <c r="L20" s="565"/>
      <c r="M20" s="565"/>
      <c r="N20" s="577"/>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70" t="s">
        <v>76</v>
      </c>
      <c r="H21" s="571"/>
      <c r="I21" s="571"/>
      <c r="J21" s="572"/>
      <c r="K21" s="578"/>
      <c r="L21" s="567"/>
      <c r="M21" s="567"/>
      <c r="N21" s="579"/>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70" t="s">
        <v>77</v>
      </c>
      <c r="H22" s="571"/>
      <c r="I22" s="571"/>
      <c r="J22" s="572"/>
      <c r="K22" s="574" t="s">
        <v>77</v>
      </c>
      <c r="L22" s="568"/>
      <c r="M22" s="568"/>
      <c r="N22" s="575"/>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70" t="s">
        <v>78</v>
      </c>
      <c r="H23" s="571"/>
      <c r="I23" s="571"/>
      <c r="J23" s="572"/>
      <c r="K23" s="576"/>
      <c r="L23" s="565"/>
      <c r="M23" s="565"/>
      <c r="N23" s="577"/>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70" t="s">
        <v>79</v>
      </c>
      <c r="H24" s="571"/>
      <c r="I24" s="571"/>
      <c r="J24" s="572"/>
      <c r="K24" s="578"/>
      <c r="L24" s="567"/>
      <c r="M24" s="567"/>
      <c r="N24" s="579"/>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70" t="s">
        <v>80</v>
      </c>
      <c r="H25" s="571"/>
      <c r="I25" s="571"/>
      <c r="J25" s="572"/>
      <c r="K25" s="574" t="s">
        <v>80</v>
      </c>
      <c r="L25" s="568"/>
      <c r="M25" s="568"/>
      <c r="N25" s="575"/>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70" t="s">
        <v>81</v>
      </c>
      <c r="H26" s="571"/>
      <c r="I26" s="571"/>
      <c r="J26" s="572"/>
      <c r="K26" s="576"/>
      <c r="L26" s="565"/>
      <c r="M26" s="565"/>
      <c r="N26" s="577"/>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70" t="s">
        <v>82</v>
      </c>
      <c r="H27" s="571"/>
      <c r="I27" s="571"/>
      <c r="J27" s="572"/>
      <c r="K27" s="578"/>
      <c r="L27" s="567"/>
      <c r="M27" s="567"/>
      <c r="N27" s="579"/>
      <c r="O27" s="113"/>
      <c r="P27" s="114"/>
      <c r="Q27" s="255"/>
      <c r="R27" s="255"/>
      <c r="S27" s="256"/>
      <c r="T27" s="255"/>
      <c r="U27" s="255"/>
      <c r="V27" s="256"/>
      <c r="W27" s="255"/>
      <c r="X27" s="255"/>
      <c r="Y27" s="256"/>
      <c r="Z27" s="256"/>
      <c r="AA27" s="256"/>
      <c r="AB27" s="256"/>
      <c r="AC27" s="256"/>
      <c r="AK27" s="184">
        <f>IF(AK28=TRUE,1,0)</f>
        <v>1</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1</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7">
        <f>ROUND('[6]別添_計画書（病院及び有床診療所）'!AB65*1.165*14/12,-5)</f>
        <v>20400000</v>
      </c>
      <c r="N37" s="547"/>
      <c r="O37" s="547"/>
      <c r="P37" s="547"/>
      <c r="Q37" s="547"/>
      <c r="R37" s="547"/>
      <c r="S37" s="547"/>
      <c r="T37" s="114" t="s">
        <v>100</v>
      </c>
      <c r="V37" s="113" t="s">
        <v>101</v>
      </c>
      <c r="W37" s="34"/>
      <c r="X37" s="114"/>
      <c r="Y37" s="34"/>
      <c r="Z37" s="547"/>
      <c r="AA37" s="547"/>
      <c r="AB37" s="547"/>
      <c r="AC37" s="547"/>
      <c r="AD37" s="547"/>
      <c r="AE37" s="547"/>
      <c r="AF37" s="547"/>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7">
        <v>500</v>
      </c>
      <c r="N48" s="547"/>
      <c r="O48" s="547"/>
      <c r="P48" s="547"/>
      <c r="Q48" s="547"/>
      <c r="R48" s="547"/>
      <c r="S48" s="547"/>
      <c r="T48" s="114" t="s">
        <v>114</v>
      </c>
      <c r="V48" s="113" t="s">
        <v>101</v>
      </c>
      <c r="X48" s="114"/>
      <c r="Z48" s="547"/>
      <c r="AA48" s="547"/>
      <c r="AB48" s="547"/>
      <c r="AC48" s="547"/>
      <c r="AD48" s="547"/>
      <c r="AE48" s="547"/>
      <c r="AF48" s="547"/>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7">
        <v>5000</v>
      </c>
      <c r="N50" s="547"/>
      <c r="O50" s="547"/>
      <c r="P50" s="547"/>
      <c r="Q50" s="547"/>
      <c r="R50" s="547"/>
      <c r="S50" s="547"/>
      <c r="T50" s="114" t="s">
        <v>114</v>
      </c>
      <c r="V50" s="113" t="s">
        <v>101</v>
      </c>
      <c r="X50" s="114"/>
      <c r="Z50" s="547"/>
      <c r="AA50" s="547"/>
      <c r="AB50" s="547"/>
      <c r="AC50" s="547"/>
      <c r="AD50" s="547"/>
      <c r="AE50" s="547"/>
      <c r="AF50" s="547"/>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7">
        <v>0</v>
      </c>
      <c r="N52" s="547"/>
      <c r="O52" s="547"/>
      <c r="P52" s="547"/>
      <c r="Q52" s="547"/>
      <c r="R52" s="547"/>
      <c r="S52" s="547"/>
      <c r="T52" s="114" t="s">
        <v>114</v>
      </c>
      <c r="V52" s="113" t="s">
        <v>101</v>
      </c>
      <c r="X52" s="114"/>
      <c r="Z52" s="547"/>
      <c r="AA52" s="547"/>
      <c r="AB52" s="547"/>
      <c r="AC52" s="547"/>
      <c r="AD52" s="547"/>
      <c r="AE52" s="547"/>
      <c r="AF52" s="547"/>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7">
        <v>0</v>
      </c>
      <c r="N54" s="547"/>
      <c r="O54" s="547"/>
      <c r="P54" s="547"/>
      <c r="Q54" s="547"/>
      <c r="R54" s="547"/>
      <c r="S54" s="547"/>
      <c r="T54" s="114" t="s">
        <v>114</v>
      </c>
      <c r="U54" s="34"/>
      <c r="V54" s="113" t="s">
        <v>101</v>
      </c>
      <c r="W54" s="34"/>
      <c r="X54" s="114"/>
      <c r="Y54" s="34"/>
      <c r="Z54" s="547"/>
      <c r="AA54" s="547"/>
      <c r="AB54" s="547"/>
      <c r="AC54" s="547"/>
      <c r="AD54" s="547"/>
      <c r="AE54" s="547"/>
      <c r="AF54" s="547"/>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7">
        <v>0</v>
      </c>
      <c r="N56" s="547"/>
      <c r="O56" s="547"/>
      <c r="P56" s="547"/>
      <c r="Q56" s="547"/>
      <c r="R56" s="547"/>
      <c r="S56" s="547"/>
      <c r="T56" s="114" t="s">
        <v>114</v>
      </c>
      <c r="U56" s="34"/>
      <c r="V56" s="113" t="s">
        <v>101</v>
      </c>
      <c r="W56" s="34"/>
      <c r="X56" s="114"/>
      <c r="Y56" s="34"/>
      <c r="Z56" s="547"/>
      <c r="AA56" s="547"/>
      <c r="AB56" s="547"/>
      <c r="AC56" s="547"/>
      <c r="AD56" s="547"/>
      <c r="AE56" s="547"/>
      <c r="AF56" s="547"/>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7">
        <v>0</v>
      </c>
      <c r="N58" s="547"/>
      <c r="O58" s="547"/>
      <c r="P58" s="547"/>
      <c r="Q58" s="547"/>
      <c r="R58" s="547"/>
      <c r="S58" s="547"/>
      <c r="T58" s="114" t="s">
        <v>114</v>
      </c>
      <c r="V58" s="113" t="s">
        <v>101</v>
      </c>
      <c r="X58" s="114"/>
      <c r="Z58" s="547"/>
      <c r="AA58" s="547"/>
      <c r="AB58" s="547"/>
      <c r="AC58" s="547"/>
      <c r="AD58" s="547"/>
      <c r="AE58" s="547"/>
      <c r="AF58" s="547"/>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7">
        <v>0</v>
      </c>
      <c r="N60" s="547"/>
      <c r="O60" s="547"/>
      <c r="P60" s="547"/>
      <c r="Q60" s="547"/>
      <c r="R60" s="547"/>
      <c r="S60" s="547"/>
      <c r="T60" s="114" t="s">
        <v>114</v>
      </c>
      <c r="V60" s="113" t="s">
        <v>101</v>
      </c>
      <c r="X60" s="114"/>
      <c r="Z60" s="547"/>
      <c r="AA60" s="547"/>
      <c r="AB60" s="547"/>
      <c r="AC60" s="547"/>
      <c r="AD60" s="547"/>
      <c r="AE60" s="547"/>
      <c r="AF60" s="547"/>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7">
        <v>0</v>
      </c>
      <c r="N62" s="547"/>
      <c r="O62" s="547"/>
      <c r="P62" s="547"/>
      <c r="Q62" s="547"/>
      <c r="R62" s="547"/>
      <c r="S62" s="547"/>
      <c r="T62" s="114" t="s">
        <v>114</v>
      </c>
      <c r="U62" s="34"/>
      <c r="V62" s="113" t="s">
        <v>101</v>
      </c>
      <c r="W62" s="34"/>
      <c r="X62" s="114"/>
      <c r="Y62" s="34"/>
      <c r="Z62" s="547"/>
      <c r="AA62" s="547"/>
      <c r="AB62" s="547"/>
      <c r="AC62" s="547"/>
      <c r="AD62" s="547"/>
      <c r="AE62" s="547"/>
      <c r="AF62" s="547"/>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3">
        <f>SUM(M47:S62)</f>
        <v>5500</v>
      </c>
      <c r="N69" s="583"/>
      <c r="O69" s="583"/>
      <c r="P69" s="583"/>
      <c r="Q69" s="583"/>
      <c r="R69" s="583"/>
      <c r="S69" s="583"/>
      <c r="T69" s="114" t="s">
        <v>114</v>
      </c>
      <c r="U69" s="34"/>
      <c r="V69" s="113" t="s">
        <v>101</v>
      </c>
      <c r="W69" s="34"/>
      <c r="X69" s="114"/>
      <c r="Y69" s="34"/>
      <c r="Z69" s="583">
        <f>SUM(Z47:AF62)</f>
        <v>0</v>
      </c>
      <c r="AA69" s="583"/>
      <c r="AB69" s="583"/>
      <c r="AC69" s="583"/>
      <c r="AD69" s="583"/>
      <c r="AE69" s="583"/>
      <c r="AF69" s="583"/>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1">
        <f>M48*AK48+M50*AK50+M52*AK52+M54*AK54+M56*AK56+M58*AK58+M60*AK60+M62*AK62</f>
        <v>13000</v>
      </c>
      <c r="N71" s="561"/>
      <c r="O71" s="561"/>
      <c r="P71" s="561"/>
      <c r="Q71" s="561"/>
      <c r="R71" s="561"/>
      <c r="S71" s="561"/>
      <c r="T71" s="114" t="s">
        <v>219</v>
      </c>
      <c r="U71" s="34"/>
      <c r="V71" s="113" t="s">
        <v>101</v>
      </c>
      <c r="W71" s="34"/>
      <c r="X71" s="114"/>
      <c r="Y71" s="34"/>
      <c r="Z71" s="561">
        <f>Z48*AK48+Z50*AK50+Z52*AK52+Z54*AK54+Z56*AK56+Z58*AK58+Z60*AK60+Z62*AK62</f>
        <v>0</v>
      </c>
      <c r="AA71" s="561"/>
      <c r="AB71" s="561"/>
      <c r="AC71" s="561"/>
      <c r="AD71" s="561"/>
      <c r="AE71" s="561"/>
      <c r="AF71" s="561"/>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80">
        <f>IFERROR(ROUNDDOWN(M71*10/M37,4),"")</f>
        <v>6.3E-3</v>
      </c>
      <c r="N73" s="580"/>
      <c r="O73" s="580"/>
      <c r="P73" s="580"/>
      <c r="Q73" s="580"/>
      <c r="R73" s="580"/>
      <c r="S73" s="580"/>
      <c r="T73" s="114"/>
      <c r="U73" s="114"/>
      <c r="V73" s="114"/>
      <c r="W73" s="114"/>
      <c r="X73" s="114"/>
      <c r="Y73" s="114"/>
      <c r="Z73" s="114"/>
      <c r="AA73" s="114"/>
      <c r="AB73" s="114"/>
      <c r="AC73" s="114"/>
      <c r="AD73" s="114"/>
      <c r="AE73" s="114"/>
      <c r="AF73" s="114"/>
      <c r="AG73" s="114"/>
      <c r="AH73" s="114"/>
      <c r="AK73" s="184">
        <f>IF(M73&lt;0.023,1,0)</f>
        <v>1</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7">
        <v>600</v>
      </c>
      <c r="N76" s="547"/>
      <c r="O76" s="547"/>
      <c r="P76" s="547"/>
      <c r="Q76" s="547"/>
      <c r="R76" s="547"/>
      <c r="S76" s="547"/>
      <c r="T76" s="113" t="s">
        <v>222</v>
      </c>
      <c r="V76" s="113" t="s">
        <v>101</v>
      </c>
      <c r="X76" s="114"/>
      <c r="Z76" s="547"/>
      <c r="AA76" s="547"/>
      <c r="AB76" s="547"/>
      <c r="AC76" s="547"/>
      <c r="AD76" s="547"/>
      <c r="AE76" s="547"/>
      <c r="AF76" s="547"/>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1">
        <f>IFERROR(IF((M37*2.3%-M71*10)/(M76*10)&lt;0,0,(M37*2.3%-M71*10)/(M76*10)),"")</f>
        <v>56.533333333333331</v>
      </c>
      <c r="J84" s="561"/>
      <c r="K84" s="561"/>
      <c r="L84" s="561"/>
      <c r="M84" s="561"/>
      <c r="N84" s="561"/>
      <c r="O84" s="561"/>
      <c r="P84" s="114"/>
      <c r="Q84" s="114"/>
      <c r="R84" s="113" t="s">
        <v>101</v>
      </c>
      <c r="T84" s="114"/>
      <c r="V84" s="561" t="str">
        <f>IFERROR(IF((Z37*2.3%-Z71*10)/(Z76*10)&lt;0,0,(Z37*2.3%-Z71*10)/(Z76*10)),"")</f>
        <v/>
      </c>
      <c r="W84" s="561"/>
      <c r="X84" s="561"/>
      <c r="Y84" s="561"/>
      <c r="Z84" s="561"/>
      <c r="AA84" s="561"/>
      <c r="AB84" s="561"/>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0" t="s">
        <v>227</v>
      </c>
      <c r="C86" s="560"/>
      <c r="D86" s="560"/>
      <c r="E86" s="560"/>
      <c r="F86" s="560" t="s">
        <v>228</v>
      </c>
      <c r="G86" s="560"/>
      <c r="H86" s="560"/>
      <c r="I86" s="560"/>
      <c r="J86" s="560"/>
      <c r="K86" s="560"/>
      <c r="L86" s="560"/>
      <c r="M86" s="560"/>
      <c r="N86" s="560"/>
      <c r="O86" s="560"/>
      <c r="P86" s="560"/>
      <c r="Q86" s="560"/>
      <c r="R86" s="560"/>
      <c r="S86" s="560"/>
      <c r="T86" s="560"/>
      <c r="U86" s="560"/>
      <c r="V86" s="560"/>
      <c r="W86" s="560"/>
      <c r="X86" s="560"/>
      <c r="Y86" s="560"/>
      <c r="Z86" s="560"/>
      <c r="AA86" s="560"/>
      <c r="AB86" s="560"/>
      <c r="AC86" s="560"/>
      <c r="AD86" s="560"/>
      <c r="AE86" s="560"/>
      <c r="AF86" s="560"/>
      <c r="AG86" s="560"/>
      <c r="AH86" s="560"/>
    </row>
    <row r="87" spans="1:37" ht="24.95" customHeight="1">
      <c r="A87" s="35"/>
      <c r="B87" s="560"/>
      <c r="C87" s="560"/>
      <c r="D87" s="560"/>
      <c r="E87" s="560"/>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5" customHeight="1">
      <c r="A88" s="35"/>
      <c r="B88" s="560"/>
      <c r="C88" s="560"/>
      <c r="D88" s="560"/>
      <c r="E88" s="560"/>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6" t="str">
        <f>IF(AK91&lt;=1.1,IF(AK91&gt;=0.9,"☑","□"),"□")</f>
        <v>□</v>
      </c>
      <c r="K91" s="566"/>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6" t="str">
        <f>IF(AK92&lt;=1.1,IF(AK92&gt;=0.9,"☑","□"),"□")</f>
        <v>□</v>
      </c>
      <c r="K92" s="566"/>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6" t="str">
        <f>IF(AK93&lt;=1.1,IF(AK93&gt;=0.9,"☑","□"),"□")</f>
        <v>□</v>
      </c>
      <c r="K93" s="566"/>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6" t="str">
        <f>IF(AK94&lt;=1.1,IF(AK94&gt;=0.9,"☑","□"),"□")</f>
        <v>□</v>
      </c>
      <c r="K94" s="566"/>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3" t="str">
        <f>IFERROR(IF(OR(AK27=0,AK73=0,I84&lt;=0),"算定不可",(VLOOKUP("該当",'リスト（入院）'!I:K,3,FALSE))),"")</f>
        <v>入院ベースアップ評価料57</v>
      </c>
      <c r="Q97" s="553"/>
      <c r="R97" s="553"/>
      <c r="S97" s="553"/>
      <c r="T97" s="553"/>
      <c r="U97" s="553"/>
      <c r="V97" s="553"/>
      <c r="W97" s="553"/>
      <c r="X97" s="553"/>
      <c r="Y97" s="553"/>
      <c r="Z97" s="553"/>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TEceLdIC9LnK5P8Nkd4O7KdlZb/Uxd3OazM6oZGWEcrC2+snA1qdMVUR70H28FPFck6WDAD+n+XPzcYFc7r8ng==" saltValue="N5JMOLoBrhXOMvnmXBOQ6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topLeftCell="A157" zoomScaleNormal="100" zoomScaleSheetLayoutView="100" workbookViewId="0">
      <selection activeCell="AB72" sqref="AB72:AF72"/>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6"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6" ht="16.149999999999999" customHeight="1">
      <c r="A2" s="616" t="s">
        <v>255</v>
      </c>
      <c r="B2" s="616"/>
      <c r="C2" s="616"/>
      <c r="D2" s="616"/>
      <c r="E2" s="616"/>
      <c r="F2" s="616"/>
      <c r="G2" s="616"/>
      <c r="H2" s="616"/>
      <c r="I2" s="616"/>
      <c r="J2" s="616"/>
      <c r="K2" s="616"/>
      <c r="L2" s="616"/>
      <c r="M2" s="616"/>
      <c r="N2" s="616"/>
      <c r="O2" s="616"/>
      <c r="P2" s="616"/>
      <c r="Q2" s="616"/>
      <c r="R2" s="616"/>
      <c r="S2" s="616"/>
      <c r="T2" s="616"/>
      <c r="U2" s="617">
        <v>6</v>
      </c>
      <c r="V2" s="617"/>
      <c r="W2" s="164" t="s">
        <v>256</v>
      </c>
      <c r="X2" s="2"/>
      <c r="Y2" s="2"/>
      <c r="Z2" s="2"/>
      <c r="AA2" s="2"/>
      <c r="AB2" s="2"/>
      <c r="AC2" s="2"/>
      <c r="AD2" s="2"/>
      <c r="AE2" s="2"/>
      <c r="AF2" s="2"/>
      <c r="AG2" s="2"/>
      <c r="AH2" s="94"/>
      <c r="AI2" s="195"/>
    </row>
    <row r="3" spans="1:36"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6" ht="16.350000000000001" customHeight="1">
      <c r="A4" s="3"/>
      <c r="B4" s="3"/>
      <c r="C4" s="3"/>
      <c r="D4" s="3"/>
      <c r="E4" s="3"/>
      <c r="F4" s="3"/>
      <c r="G4" s="3"/>
      <c r="H4" s="3"/>
      <c r="I4" s="3"/>
      <c r="J4" s="3"/>
      <c r="K4" s="3"/>
      <c r="L4" s="3"/>
      <c r="M4" s="3"/>
      <c r="N4" s="3"/>
      <c r="O4" s="3"/>
      <c r="P4" s="3"/>
      <c r="Q4" s="611" t="s">
        <v>257</v>
      </c>
      <c r="R4" s="611"/>
      <c r="S4" s="611"/>
      <c r="T4" s="611"/>
      <c r="U4" s="611"/>
      <c r="V4" s="612" t="str">
        <f>IF('様式95_外来・在宅ベースアップ評価料（Ⅰ）'!H5=0,"",'様式95_外来・在宅ベースアップ評価料（Ⅰ）'!H5)</f>
        <v>1234567</v>
      </c>
      <c r="W4" s="612"/>
      <c r="X4" s="612"/>
      <c r="Y4" s="612"/>
      <c r="Z4" s="612"/>
      <c r="AA4" s="612"/>
      <c r="AB4" s="612"/>
      <c r="AC4" s="612"/>
      <c r="AD4" s="612"/>
      <c r="AE4" s="612"/>
      <c r="AF4" s="612"/>
      <c r="AG4" s="612"/>
      <c r="AH4" s="104"/>
      <c r="AI4" s="196"/>
    </row>
    <row r="5" spans="1:36" ht="16.149999999999999" customHeight="1">
      <c r="A5" s="3"/>
      <c r="B5" s="3"/>
      <c r="C5" s="3"/>
      <c r="D5" s="3"/>
      <c r="E5" s="3"/>
      <c r="F5" s="3"/>
      <c r="G5" s="3"/>
      <c r="H5" s="3"/>
      <c r="I5" s="3"/>
      <c r="J5" s="3"/>
      <c r="K5" s="3"/>
      <c r="L5" s="3"/>
      <c r="M5" s="3"/>
      <c r="N5" s="3"/>
      <c r="O5" s="3"/>
      <c r="P5" s="3"/>
      <c r="Q5" s="618" t="s">
        <v>258</v>
      </c>
      <c r="R5" s="618"/>
      <c r="S5" s="618"/>
      <c r="T5" s="618"/>
      <c r="U5" s="619"/>
      <c r="V5" s="613" t="str">
        <f>IF(様式97_入院ベースアップ評価料!H6="","",様式97_入院ベースアップ評価料!H6)</f>
        <v>●●病院</v>
      </c>
      <c r="W5" s="613"/>
      <c r="X5" s="613"/>
      <c r="Y5" s="613"/>
      <c r="Z5" s="613"/>
      <c r="AA5" s="613"/>
      <c r="AB5" s="613"/>
      <c r="AC5" s="613"/>
      <c r="AD5" s="613"/>
      <c r="AE5" s="613"/>
      <c r="AF5" s="613"/>
      <c r="AG5" s="613"/>
      <c r="AH5" s="28"/>
      <c r="AI5" s="181"/>
    </row>
    <row r="6" spans="1:36"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6"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6"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6" ht="16.149999999999999" customHeight="1">
      <c r="A9" s="2"/>
      <c r="B9" s="602"/>
      <c r="C9" s="602"/>
      <c r="D9" s="603" t="s">
        <v>261</v>
      </c>
      <c r="E9" s="603"/>
      <c r="F9" s="603"/>
      <c r="G9" s="603"/>
      <c r="H9" s="603"/>
      <c r="I9" s="603"/>
      <c r="J9" s="603"/>
      <c r="K9" s="603"/>
      <c r="L9" s="603"/>
      <c r="M9" s="603"/>
      <c r="N9" s="603"/>
      <c r="O9" s="603"/>
      <c r="P9" s="603"/>
      <c r="Q9" s="603"/>
      <c r="R9" s="603"/>
      <c r="S9" s="603"/>
      <c r="T9" s="603"/>
      <c r="U9" s="603"/>
      <c r="V9" s="603"/>
      <c r="W9" s="603"/>
      <c r="X9" s="603"/>
      <c r="Y9" s="603"/>
      <c r="Z9" s="603"/>
      <c r="AA9" s="3"/>
      <c r="AB9" s="3"/>
      <c r="AC9" s="3"/>
      <c r="AD9" s="3"/>
      <c r="AE9" s="3"/>
      <c r="AF9" s="3"/>
      <c r="AG9" s="19"/>
      <c r="AJ9" s="176">
        <v>2</v>
      </c>
    </row>
    <row r="10" spans="1:36" ht="16.149999999999999" customHeight="1" thickBot="1">
      <c r="A10" s="2"/>
      <c r="B10" s="629"/>
      <c r="C10" s="629"/>
      <c r="D10" s="630" t="s">
        <v>262</v>
      </c>
      <c r="E10" s="630"/>
      <c r="F10" s="630"/>
      <c r="G10" s="630"/>
      <c r="H10" s="630"/>
      <c r="I10" s="630"/>
      <c r="J10" s="630"/>
      <c r="K10" s="630"/>
      <c r="L10" s="630"/>
      <c r="M10" s="630"/>
      <c r="N10" s="630"/>
      <c r="O10" s="630"/>
      <c r="P10" s="630"/>
      <c r="Q10" s="630"/>
      <c r="R10" s="630"/>
      <c r="S10" s="630"/>
      <c r="T10" s="630"/>
      <c r="U10" s="630"/>
      <c r="V10" s="630"/>
      <c r="W10" s="630"/>
      <c r="X10" s="630"/>
      <c r="Y10" s="630"/>
      <c r="Z10" s="630"/>
      <c r="AA10" s="3"/>
      <c r="AB10" s="3"/>
      <c r="AC10" s="3"/>
      <c r="AD10" s="3"/>
      <c r="AE10" s="3"/>
      <c r="AF10" s="3"/>
      <c r="AG10" s="19"/>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6" ht="16.149999999999999" customHeight="1" thickBot="1">
      <c r="A15" s="3" t="s">
        <v>263</v>
      </c>
      <c r="B15" s="3"/>
      <c r="C15" s="3"/>
      <c r="D15" s="3"/>
      <c r="E15" s="3"/>
      <c r="F15" s="3"/>
      <c r="L15" s="3"/>
      <c r="M15" s="3"/>
      <c r="N15" s="3"/>
      <c r="O15" s="3"/>
      <c r="P15" s="3"/>
      <c r="Q15" s="3"/>
      <c r="R15" s="3"/>
      <c r="S15" s="3"/>
      <c r="T15" s="3"/>
      <c r="U15" s="3"/>
      <c r="V15" s="3"/>
      <c r="AE15" s="3"/>
      <c r="AF15" s="3"/>
      <c r="AG15" s="19"/>
    </row>
    <row r="16" spans="1:36" ht="16.149999999999999" customHeight="1" thickBot="1">
      <c r="B16" s="609" t="s">
        <v>15</v>
      </c>
      <c r="C16" s="609"/>
      <c r="D16" s="609"/>
      <c r="E16" s="610">
        <v>6</v>
      </c>
      <c r="F16" s="610"/>
      <c r="G16" s="20" t="s">
        <v>16</v>
      </c>
      <c r="H16" s="610">
        <v>10</v>
      </c>
      <c r="I16" s="610"/>
      <c r="J16" s="20" t="s">
        <v>264</v>
      </c>
      <c r="K16" s="20"/>
      <c r="L16" s="20" t="s">
        <v>265</v>
      </c>
      <c r="M16" s="20" t="s">
        <v>15</v>
      </c>
      <c r="N16" s="20"/>
      <c r="O16" s="610">
        <v>7</v>
      </c>
      <c r="P16" s="610"/>
      <c r="Q16" s="20" t="s">
        <v>16</v>
      </c>
      <c r="R16" s="610">
        <v>3</v>
      </c>
      <c r="S16" s="610"/>
      <c r="T16" s="21" t="s">
        <v>264</v>
      </c>
      <c r="V16" s="604">
        <f>IF(E16=O16,R16-H16+1,IF(O16-E16=1,12-H16+1+R16,IF(O16-E16=2,12-H16+1+R16+12,"エラー")))</f>
        <v>6</v>
      </c>
      <c r="W16" s="604"/>
      <c r="X16" s="604"/>
      <c r="Y16" s="605"/>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9" t="s">
        <v>15</v>
      </c>
      <c r="C21" s="609"/>
      <c r="D21" s="609"/>
      <c r="E21" s="610">
        <v>6</v>
      </c>
      <c r="F21" s="610"/>
      <c r="G21" s="20" t="s">
        <v>16</v>
      </c>
      <c r="H21" s="610">
        <v>10</v>
      </c>
      <c r="I21" s="610"/>
      <c r="J21" s="20" t="s">
        <v>264</v>
      </c>
      <c r="K21" s="20"/>
      <c r="L21" s="20" t="s">
        <v>265</v>
      </c>
      <c r="M21" s="20" t="s">
        <v>15</v>
      </c>
      <c r="N21" s="20"/>
      <c r="O21" s="610">
        <v>7</v>
      </c>
      <c r="P21" s="610"/>
      <c r="Q21" s="20" t="s">
        <v>16</v>
      </c>
      <c r="R21" s="610">
        <v>3</v>
      </c>
      <c r="S21" s="610"/>
      <c r="T21" s="21" t="s">
        <v>264</v>
      </c>
      <c r="V21" s="604">
        <f>IF(E21=O21,R21-H21+1,IF(O21-E21=1,12-H21+1+R21,IF(O21-E21=2,12-H21+1+R21+12,"エラー")))</f>
        <v>6</v>
      </c>
      <c r="W21" s="604"/>
      <c r="X21" s="604"/>
      <c r="Y21" s="605"/>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6">
        <f>IFERROR(SUM(AB29:AF30),"")</f>
        <v>2832000</v>
      </c>
      <c r="AC28" s="606"/>
      <c r="AD28" s="606"/>
      <c r="AE28" s="606"/>
      <c r="AF28" s="606"/>
      <c r="AG28" s="132" t="s">
        <v>270</v>
      </c>
    </row>
    <row r="29" spans="1:33" ht="16.149999999999999" customHeight="1">
      <c r="A29" s="53"/>
      <c r="B29" s="607" t="s">
        <v>271</v>
      </c>
      <c r="C29" s="607"/>
      <c r="D29" s="607"/>
      <c r="E29" s="607"/>
      <c r="F29" s="607"/>
      <c r="G29" s="607"/>
      <c r="H29" s="607"/>
      <c r="I29" s="607"/>
      <c r="J29" s="607"/>
      <c r="K29" s="607"/>
      <c r="L29" s="607"/>
      <c r="M29" s="607"/>
      <c r="N29" s="607"/>
      <c r="O29" s="607"/>
      <c r="P29" s="607"/>
      <c r="Q29" s="607"/>
      <c r="R29" s="607"/>
      <c r="S29" s="607"/>
      <c r="T29" s="607"/>
      <c r="U29" s="607"/>
      <c r="V29" s="607"/>
      <c r="W29" s="607"/>
      <c r="X29" s="14"/>
      <c r="Y29" s="14" t="s">
        <v>272</v>
      </c>
      <c r="Z29" s="14"/>
      <c r="AA29" s="14"/>
      <c r="AB29" s="608">
        <f>様式97_入院ベースアップ評価料!M71*V21*10</f>
        <v>780000</v>
      </c>
      <c r="AC29" s="608"/>
      <c r="AD29" s="608"/>
      <c r="AE29" s="608"/>
      <c r="AF29" s="608"/>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2">
        <f>IFERROR(AB31*AB32*10,0)</f>
        <v>2052000</v>
      </c>
      <c r="AC30" s="622"/>
      <c r="AD30" s="622"/>
      <c r="AE30" s="622"/>
      <c r="AF30" s="622"/>
      <c r="AG30" s="168" t="s">
        <v>270</v>
      </c>
    </row>
    <row r="31" spans="1:33" ht="16.149999999999999" customHeight="1">
      <c r="A31" s="52"/>
      <c r="B31" s="57"/>
      <c r="C31" s="59" t="s">
        <v>274</v>
      </c>
      <c r="D31" s="60"/>
      <c r="E31" s="60"/>
      <c r="F31" s="60"/>
      <c r="G31" s="60"/>
      <c r="H31" s="60"/>
      <c r="I31" s="60"/>
      <c r="J31" s="60"/>
      <c r="K31" s="60"/>
      <c r="L31" s="60"/>
      <c r="M31" s="58"/>
      <c r="N31" s="58"/>
      <c r="O31" s="5" t="s">
        <v>275</v>
      </c>
      <c r="P31" s="631" t="str">
        <f>様式97_入院ベースアップ評価料!P97</f>
        <v>入院ベースアップ評価料57</v>
      </c>
      <c r="Q31" s="631"/>
      <c r="R31" s="631"/>
      <c r="S31" s="631"/>
      <c r="T31" s="631"/>
      <c r="U31" s="631"/>
      <c r="V31" s="631"/>
      <c r="W31" s="631"/>
      <c r="X31" s="5" t="s">
        <v>132</v>
      </c>
      <c r="Y31" s="5" t="s">
        <v>272</v>
      </c>
      <c r="Z31" s="5" t="s">
        <v>113</v>
      </c>
      <c r="AA31" s="5"/>
      <c r="AB31" s="632">
        <f>IFERROR(VLOOKUP(P31,'リスト（入院）'!C:D,2,FALSE),"-")</f>
        <v>57</v>
      </c>
      <c r="AC31" s="632"/>
      <c r="AD31" s="632"/>
      <c r="AE31" s="632"/>
      <c r="AF31" s="632"/>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3">
        <f>IF(様式97_入院ベースアップ評価料!H5="","0",様式97_入院ベースアップ評価料!M76*V21)</f>
        <v>3600</v>
      </c>
      <c r="AC32" s="633"/>
      <c r="AD32" s="633"/>
      <c r="AE32" s="633"/>
      <c r="AF32" s="633"/>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0">
        <v>0</v>
      </c>
      <c r="AC33" s="590"/>
      <c r="AD33" s="590"/>
      <c r="AE33" s="590"/>
      <c r="AF33" s="590"/>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1">
        <v>0</v>
      </c>
      <c r="AC34" s="621"/>
      <c r="AD34" s="621"/>
      <c r="AE34" s="621"/>
      <c r="AF34" s="621"/>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20">
        <f>IFERROR(AB28-AB33+AB34,"")</f>
        <v>2832000</v>
      </c>
      <c r="AC35" s="620"/>
      <c r="AD35" s="620"/>
      <c r="AE35" s="620"/>
      <c r="AF35" s="620"/>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7">
        <v>4361760</v>
      </c>
      <c r="AC40" s="627"/>
      <c r="AD40" s="627"/>
      <c r="AE40" s="627"/>
      <c r="AF40" s="627"/>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8">
        <f>AB35</f>
        <v>2832000</v>
      </c>
      <c r="AC41" s="628"/>
      <c r="AD41" s="628"/>
      <c r="AE41" s="628"/>
      <c r="AF41" s="628"/>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90">
        <v>4361760</v>
      </c>
      <c r="AC42" s="590"/>
      <c r="AD42" s="590"/>
      <c r="AE42" s="590"/>
      <c r="AF42" s="590"/>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5"/>
      <c r="AC43" s="625"/>
      <c r="AD43" s="625"/>
      <c r="AE43" s="625"/>
      <c r="AF43" s="625"/>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4">
        <f>AB40-SUM(AB42:AF43)</f>
        <v>0</v>
      </c>
      <c r="AC44" s="624"/>
      <c r="AD44" s="624"/>
      <c r="AE44" s="624"/>
      <c r="AF44" s="624"/>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6">
        <f>SUM(AB78,AB87,AB96,AB105,AB114)</f>
        <v>50</v>
      </c>
      <c r="AC69" s="626"/>
      <c r="AD69" s="626"/>
      <c r="AE69" s="626"/>
      <c r="AF69" s="626"/>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4">
        <f t="shared" ref="AB70:AB74" si="0">SUM(AB79,AB88,AB97,AB106,AB115)</f>
        <v>14990000</v>
      </c>
      <c r="AC70" s="614"/>
      <c r="AD70" s="614"/>
      <c r="AE70" s="614"/>
      <c r="AF70" s="614"/>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614">
        <f t="shared" si="0"/>
        <v>15328000</v>
      </c>
      <c r="AC71" s="614"/>
      <c r="AD71" s="614"/>
      <c r="AE71" s="614"/>
      <c r="AF71" s="614"/>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623">
        <f>AB71-AB70</f>
        <v>338000</v>
      </c>
      <c r="AC72" s="623"/>
      <c r="AD72" s="623"/>
      <c r="AE72" s="623"/>
      <c r="AF72" s="623"/>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4">
        <f t="shared" si="0"/>
        <v>0</v>
      </c>
      <c r="AC73" s="614"/>
      <c r="AD73" s="614"/>
      <c r="AE73" s="614"/>
      <c r="AF73" s="614"/>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8">
        <f t="shared" si="0"/>
        <v>338000</v>
      </c>
      <c r="AC74" s="588"/>
      <c r="AD74" s="588"/>
      <c r="AE74" s="588"/>
      <c r="AF74" s="588"/>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2.2548365577051368</v>
      </c>
      <c r="AC75" s="615"/>
      <c r="AD75" s="615"/>
      <c r="AE75" s="615"/>
      <c r="AF75" s="615"/>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91">
        <v>28</v>
      </c>
      <c r="AC78" s="591"/>
      <c r="AD78" s="591"/>
      <c r="AE78" s="591"/>
      <c r="AF78" s="591"/>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0">
        <v>10080000</v>
      </c>
      <c r="AC79" s="590"/>
      <c r="AD79" s="590"/>
      <c r="AE79" s="590"/>
      <c r="AF79" s="590"/>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594">
        <v>10300000</v>
      </c>
      <c r="AC80" s="594"/>
      <c r="AD80" s="594"/>
      <c r="AE80" s="594"/>
      <c r="AF80" s="594"/>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595">
        <f>AB80-AB79</f>
        <v>220000</v>
      </c>
      <c r="AC81" s="595"/>
      <c r="AD81" s="595"/>
      <c r="AE81" s="595"/>
      <c r="AF81" s="595"/>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0">
        <v>0</v>
      </c>
      <c r="AC82" s="590"/>
      <c r="AD82" s="590"/>
      <c r="AE82" s="590"/>
      <c r="AF82" s="590"/>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8">
        <f>AB81-AB82</f>
        <v>220000</v>
      </c>
      <c r="AC83" s="588"/>
      <c r="AD83" s="588"/>
      <c r="AE83" s="588"/>
      <c r="AF83" s="588"/>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2">
        <f>IFERROR(AB83/AB79*100,0)</f>
        <v>2.1825396825396823</v>
      </c>
      <c r="AC84" s="592"/>
      <c r="AD84" s="592"/>
      <c r="AE84" s="592"/>
      <c r="AF84" s="592"/>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9"/>
      <c r="AB86" s="589"/>
      <c r="AC86" s="589"/>
      <c r="AD86" s="589"/>
      <c r="AE86" s="589"/>
      <c r="AF86" s="589"/>
      <c r="AG86" s="589"/>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91">
        <v>5</v>
      </c>
      <c r="AC87" s="591"/>
      <c r="AD87" s="591"/>
      <c r="AE87" s="591"/>
      <c r="AF87" s="591"/>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0">
        <v>1650000</v>
      </c>
      <c r="AC88" s="590"/>
      <c r="AD88" s="590"/>
      <c r="AE88" s="590"/>
      <c r="AF88" s="590"/>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594">
        <v>1690000</v>
      </c>
      <c r="AC89" s="594"/>
      <c r="AD89" s="594"/>
      <c r="AE89" s="594"/>
      <c r="AF89" s="594"/>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595">
        <f>AB89-AB88</f>
        <v>40000</v>
      </c>
      <c r="AC90" s="595"/>
      <c r="AD90" s="595"/>
      <c r="AE90" s="595"/>
      <c r="AF90" s="595"/>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0">
        <v>0</v>
      </c>
      <c r="AC91" s="590"/>
      <c r="AD91" s="590"/>
      <c r="AE91" s="590"/>
      <c r="AF91" s="590"/>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8">
        <f>AB90-AB91</f>
        <v>40000</v>
      </c>
      <c r="AC92" s="588"/>
      <c r="AD92" s="588"/>
      <c r="AE92" s="588"/>
      <c r="AF92" s="588"/>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2">
        <f>IFERROR(AB92/AB88*100,0)</f>
        <v>2.4242424242424243</v>
      </c>
      <c r="AC93" s="592"/>
      <c r="AD93" s="592"/>
      <c r="AE93" s="592"/>
      <c r="AF93" s="592"/>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9"/>
      <c r="AB95" s="589"/>
      <c r="AC95" s="589"/>
      <c r="AD95" s="589"/>
      <c r="AE95" s="589"/>
      <c r="AF95" s="589"/>
      <c r="AG95" s="589"/>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91">
        <v>6.5</v>
      </c>
      <c r="AC96" s="591"/>
      <c r="AD96" s="591"/>
      <c r="AE96" s="591"/>
      <c r="AF96" s="591"/>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0">
        <v>1560000</v>
      </c>
      <c r="AC97" s="590"/>
      <c r="AD97" s="590"/>
      <c r="AE97" s="590"/>
      <c r="AF97" s="590"/>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594">
        <v>1598000</v>
      </c>
      <c r="AC98" s="594"/>
      <c r="AD98" s="594"/>
      <c r="AE98" s="594"/>
      <c r="AF98" s="594"/>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595">
        <f>AB98-AB97</f>
        <v>38000</v>
      </c>
      <c r="AC99" s="595"/>
      <c r="AD99" s="595"/>
      <c r="AE99" s="595"/>
      <c r="AF99" s="595"/>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0">
        <v>0</v>
      </c>
      <c r="AC100" s="590"/>
      <c r="AD100" s="590"/>
      <c r="AE100" s="590"/>
      <c r="AF100" s="590"/>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8">
        <f>AB99-AB100</f>
        <v>38000</v>
      </c>
      <c r="AC101" s="588"/>
      <c r="AD101" s="588"/>
      <c r="AE101" s="588"/>
      <c r="AF101" s="588"/>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2">
        <f>IFERROR(AB101/AB97*100,0)</f>
        <v>2.4358974358974361</v>
      </c>
      <c r="AC102" s="592"/>
      <c r="AD102" s="592"/>
      <c r="AE102" s="592"/>
      <c r="AF102" s="592"/>
      <c r="AG102" s="154" t="s">
        <v>292</v>
      </c>
    </row>
    <row r="103" spans="1:35" ht="16.350000000000001" customHeight="1"/>
    <row r="104" spans="1:35" ht="16.350000000000001" customHeight="1" thickBot="1">
      <c r="A104" s="593" t="s">
        <v>317</v>
      </c>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91">
        <v>0</v>
      </c>
      <c r="AC105" s="591"/>
      <c r="AD105" s="591"/>
      <c r="AE105" s="591"/>
      <c r="AF105" s="591"/>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0">
        <v>0</v>
      </c>
      <c r="AC106" s="590"/>
      <c r="AD106" s="590"/>
      <c r="AE106" s="590"/>
      <c r="AF106" s="590"/>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4">
        <v>0</v>
      </c>
      <c r="AC107" s="594"/>
      <c r="AD107" s="594"/>
      <c r="AE107" s="594"/>
      <c r="AF107" s="594"/>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5">
        <f>AB107-AB106</f>
        <v>0</v>
      </c>
      <c r="AC108" s="595"/>
      <c r="AD108" s="595"/>
      <c r="AE108" s="595"/>
      <c r="AF108" s="595"/>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0">
        <v>0</v>
      </c>
      <c r="AC109" s="590"/>
      <c r="AD109" s="590"/>
      <c r="AE109" s="590"/>
      <c r="AF109" s="590"/>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8">
        <f>AB108-AB109</f>
        <v>0</v>
      </c>
      <c r="AC110" s="588"/>
      <c r="AD110" s="588"/>
      <c r="AE110" s="588"/>
      <c r="AF110" s="588"/>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2">
        <f>IFERROR(AB110/AB106*100,0)</f>
        <v>0</v>
      </c>
      <c r="AC111" s="592"/>
      <c r="AD111" s="592"/>
      <c r="AE111" s="592"/>
      <c r="AF111" s="592"/>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9"/>
      <c r="AB113" s="589"/>
      <c r="AC113" s="589"/>
      <c r="AD113" s="589"/>
      <c r="AE113" s="589"/>
      <c r="AF113" s="589"/>
      <c r="AG113" s="589"/>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91">
        <v>10.5</v>
      </c>
      <c r="AC114" s="591"/>
      <c r="AD114" s="591"/>
      <c r="AE114" s="591"/>
      <c r="AF114" s="591"/>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0">
        <v>1700000</v>
      </c>
      <c r="AC115" s="590"/>
      <c r="AD115" s="590"/>
      <c r="AE115" s="590"/>
      <c r="AF115" s="590"/>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4">
        <v>1740000</v>
      </c>
      <c r="AC116" s="594"/>
      <c r="AD116" s="594"/>
      <c r="AE116" s="594"/>
      <c r="AF116" s="594"/>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5">
        <f>AB116-AB115</f>
        <v>40000</v>
      </c>
      <c r="AC117" s="595"/>
      <c r="AD117" s="595"/>
      <c r="AE117" s="595"/>
      <c r="AF117" s="595"/>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0">
        <v>0</v>
      </c>
      <c r="AC118" s="590"/>
      <c r="AD118" s="590"/>
      <c r="AE118" s="590"/>
      <c r="AF118" s="590"/>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8">
        <f>AB117-AB118</f>
        <v>40000</v>
      </c>
      <c r="AC119" s="588"/>
      <c r="AD119" s="588"/>
      <c r="AE119" s="588"/>
      <c r="AF119" s="588"/>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2">
        <f>IFERROR(AB119/AB115*100,0)</f>
        <v>2.3529411764705883</v>
      </c>
      <c r="AC120" s="592"/>
      <c r="AD120" s="592"/>
      <c r="AE120" s="592"/>
      <c r="AF120" s="592"/>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5"/>
      <c r="AB123" s="585"/>
      <c r="AC123" s="585"/>
      <c r="AD123" s="585"/>
      <c r="AE123" s="585"/>
      <c r="AF123" s="585"/>
      <c r="AG123" s="585"/>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6">
        <v>10</v>
      </c>
      <c r="AC124" s="586"/>
      <c r="AD124" s="586"/>
      <c r="AE124" s="586"/>
      <c r="AF124" s="586"/>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7"/>
      <c r="AC125" s="587"/>
      <c r="AD125" s="587"/>
      <c r="AE125" s="587"/>
      <c r="AF125" s="587"/>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7">
        <v>4200000</v>
      </c>
      <c r="AC126" s="587"/>
      <c r="AD126" s="587"/>
      <c r="AE126" s="587"/>
      <c r="AF126" s="587"/>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1"/>
      <c r="AC127" s="601"/>
      <c r="AD127" s="601"/>
      <c r="AE127" s="601"/>
      <c r="AF127" s="601"/>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7">
        <v>4270000</v>
      </c>
      <c r="AC128" s="587"/>
      <c r="AD128" s="587"/>
      <c r="AE128" s="587"/>
      <c r="AF128" s="587"/>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00">
        <f>AB127-AB125</f>
        <v>0</v>
      </c>
      <c r="AC129" s="600"/>
      <c r="AD129" s="600"/>
      <c r="AE129" s="600"/>
      <c r="AF129" s="600"/>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0">
        <f>AB128-AB126</f>
        <v>70000</v>
      </c>
      <c r="AC130" s="600"/>
      <c r="AD130" s="600"/>
      <c r="AE130" s="600"/>
      <c r="AF130" s="600"/>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7">
        <v>0</v>
      </c>
      <c r="AC131" s="587"/>
      <c r="AD131" s="587"/>
      <c r="AE131" s="587"/>
      <c r="AF131" s="587"/>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8">
        <f>AB130-AB131</f>
        <v>70000</v>
      </c>
      <c r="AC132" s="588"/>
      <c r="AD132" s="588"/>
      <c r="AE132" s="588"/>
      <c r="AF132" s="588"/>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2">
        <f>IFERROR(AB132/AB126*100,0)</f>
        <v>1.6666666666666667</v>
      </c>
      <c r="AC133" s="592"/>
      <c r="AD133" s="592"/>
      <c r="AE133" s="592"/>
      <c r="AF133" s="592"/>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5"/>
      <c r="AB135" s="585"/>
      <c r="AC135" s="585"/>
      <c r="AD135" s="585"/>
      <c r="AE135" s="585"/>
      <c r="AF135" s="585"/>
      <c r="AG135" s="585"/>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6">
        <v>20</v>
      </c>
      <c r="AC136" s="586"/>
      <c r="AD136" s="586"/>
      <c r="AE136" s="586"/>
      <c r="AF136" s="586"/>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7"/>
      <c r="AC137" s="587"/>
      <c r="AD137" s="587"/>
      <c r="AE137" s="587"/>
      <c r="AF137" s="587"/>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7">
        <v>3500000</v>
      </c>
      <c r="AC138" s="587"/>
      <c r="AD138" s="587"/>
      <c r="AE138" s="587"/>
      <c r="AF138" s="587"/>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1"/>
      <c r="AC139" s="601"/>
      <c r="AD139" s="601"/>
      <c r="AE139" s="601"/>
      <c r="AF139" s="601"/>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7">
        <v>3560000</v>
      </c>
      <c r="AC140" s="587"/>
      <c r="AD140" s="587"/>
      <c r="AE140" s="587"/>
      <c r="AF140" s="587"/>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00">
        <f>AB139-AB137</f>
        <v>0</v>
      </c>
      <c r="AC141" s="600"/>
      <c r="AD141" s="600"/>
      <c r="AE141" s="600"/>
      <c r="AF141" s="600"/>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0">
        <f>AB140-AB138</f>
        <v>60000</v>
      </c>
      <c r="AC142" s="600"/>
      <c r="AD142" s="600"/>
      <c r="AE142" s="600"/>
      <c r="AF142" s="600"/>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7">
        <v>0</v>
      </c>
      <c r="AC143" s="587"/>
      <c r="AD143" s="587"/>
      <c r="AE143" s="587"/>
      <c r="AF143" s="587"/>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8">
        <f>AB142-AB143</f>
        <v>60000</v>
      </c>
      <c r="AC144" s="588"/>
      <c r="AD144" s="588"/>
      <c r="AE144" s="588"/>
      <c r="AF144" s="588"/>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2">
        <f>IFERROR(AB144/AB138*100,0)</f>
        <v>1.7142857142857144</v>
      </c>
      <c r="AC145" s="592"/>
      <c r="AD145" s="592"/>
      <c r="AE145" s="592"/>
      <c r="AF145" s="592"/>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1</v>
      </c>
    </row>
    <row r="150" spans="1:36" ht="15.6" customHeight="1">
      <c r="A150" s="16"/>
      <c r="B150" s="3"/>
      <c r="C150" s="3" t="s">
        <v>334</v>
      </c>
      <c r="D150" s="3"/>
      <c r="E150" s="3"/>
      <c r="F150" s="3"/>
      <c r="G150" s="3"/>
      <c r="H150" s="3"/>
      <c r="I150" s="3"/>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6" t="s">
        <v>1785</v>
      </c>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7" t="s">
        <v>335</v>
      </c>
      <c r="B156" s="597"/>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105"/>
      <c r="AI156" s="199"/>
    </row>
    <row r="157" spans="1:36" ht="15" customHeight="1">
      <c r="A157" s="597"/>
      <c r="B157" s="597"/>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105"/>
      <c r="AI157" s="199"/>
    </row>
    <row r="158" spans="1:36" ht="15" customHeight="1">
      <c r="A158" s="3"/>
      <c r="B158" s="3"/>
      <c r="C158" s="3" t="s">
        <v>15</v>
      </c>
      <c r="D158" s="3"/>
      <c r="E158" s="598">
        <v>6</v>
      </c>
      <c r="F158" s="598"/>
      <c r="G158" s="3" t="s">
        <v>16</v>
      </c>
      <c r="H158" s="598">
        <v>9</v>
      </c>
      <c r="I158" s="598"/>
      <c r="J158" s="3" t="s">
        <v>264</v>
      </c>
      <c r="K158" s="598">
        <v>30</v>
      </c>
      <c r="L158" s="598"/>
      <c r="M158" s="3" t="s">
        <v>18</v>
      </c>
      <c r="N158" s="3"/>
      <c r="O158" s="3"/>
      <c r="P158" s="3" t="s">
        <v>336</v>
      </c>
      <c r="Q158" s="3"/>
      <c r="R158" s="3"/>
      <c r="S158" s="3"/>
      <c r="T158" s="599" t="s">
        <v>1776</v>
      </c>
      <c r="U158" s="599"/>
      <c r="V158" s="599"/>
      <c r="W158" s="599"/>
      <c r="X158" s="599"/>
      <c r="Y158" s="599"/>
      <c r="Z158" s="599"/>
      <c r="AA158" s="599"/>
      <c r="AB158" s="599"/>
      <c r="AC158" s="599"/>
      <c r="AD158" s="599"/>
      <c r="AE158" s="599"/>
      <c r="AF158" s="599"/>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NXLO3vRkEqvhMxg5qeyYe+oSvOaAc1Gc6ZaOKhvHJ3ZoKhbQdhI53dVQ8ZTLMkgbQAJ9CwfAK4LA+AvbanxLXQ==" saltValue="9o2F8DV3UYe8yoDSJqpHdw=="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3" manualBreakCount="3">
    <brk id="56" max="33" man="1"/>
    <brk id="112" max="33" man="1"/>
    <brk id="15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29" zoomScaleNormal="100" zoomScaleSheetLayoutView="100" workbookViewId="0">
      <selection activeCell="AV13" sqref="AV13"/>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6" t="s">
        <v>339</v>
      </c>
      <c r="B2" s="616"/>
      <c r="C2" s="616"/>
      <c r="D2" s="616"/>
      <c r="E2" s="616"/>
      <c r="F2" s="616"/>
      <c r="G2" s="616"/>
      <c r="H2" s="616"/>
      <c r="I2" s="616"/>
      <c r="J2" s="616"/>
      <c r="K2" s="616"/>
      <c r="L2" s="616"/>
      <c r="M2" s="616"/>
      <c r="N2" s="616"/>
      <c r="O2" s="616"/>
      <c r="P2" s="616"/>
      <c r="Q2" s="616"/>
      <c r="R2" s="616"/>
      <c r="S2" s="617">
        <v>6</v>
      </c>
      <c r="T2" s="617"/>
      <c r="U2" s="660" t="s">
        <v>256</v>
      </c>
      <c r="V2" s="660"/>
      <c r="W2" s="660"/>
      <c r="X2" s="660"/>
      <c r="Y2" s="660"/>
      <c r="Z2" s="660"/>
      <c r="AA2" s="660"/>
      <c r="AB2" s="660"/>
      <c r="AC2" s="660"/>
      <c r="AD2" s="660"/>
      <c r="AE2" s="660"/>
      <c r="AF2" s="660"/>
      <c r="AG2" s="660"/>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1" t="s">
        <v>257</v>
      </c>
      <c r="R4" s="611"/>
      <c r="S4" s="611"/>
      <c r="T4" s="611"/>
      <c r="U4" s="611"/>
      <c r="V4" s="646" t="str">
        <f>IF('様式95_外来・在宅ベースアップ評価料（Ⅰ）'!H5=0,"",'様式95_外来・在宅ベースアップ評価料（Ⅰ）'!H5)</f>
        <v>1234567</v>
      </c>
      <c r="W4" s="646"/>
      <c r="X4" s="646"/>
      <c r="Y4" s="646"/>
      <c r="Z4" s="646"/>
      <c r="AA4" s="646"/>
      <c r="AB4" s="646"/>
      <c r="AC4" s="646"/>
      <c r="AD4" s="646"/>
      <c r="AE4" s="646"/>
      <c r="AF4" s="646"/>
      <c r="AG4" s="647"/>
      <c r="AH4" s="196"/>
      <c r="AI4" s="196"/>
    </row>
    <row r="5" spans="1:45" ht="16.149999999999999" customHeight="1">
      <c r="A5" s="48"/>
      <c r="B5" s="48"/>
      <c r="C5" s="48"/>
      <c r="D5" s="48"/>
      <c r="E5" s="48"/>
      <c r="F5" s="48"/>
      <c r="G5" s="48"/>
      <c r="H5" s="48"/>
      <c r="I5" s="48"/>
      <c r="J5" s="48"/>
      <c r="K5" s="48"/>
      <c r="L5" s="48"/>
      <c r="M5" s="48"/>
      <c r="N5" s="48"/>
      <c r="O5" s="48"/>
      <c r="P5" s="48"/>
      <c r="Q5" s="661" t="s">
        <v>258</v>
      </c>
      <c r="R5" s="661"/>
      <c r="S5" s="661"/>
      <c r="T5" s="661"/>
      <c r="U5" s="662"/>
      <c r="V5" s="648" t="str">
        <f>'様式96_外来・在宅ベースアップ評価料（Ⅱ）'!H6</f>
        <v>●●病院</v>
      </c>
      <c r="W5" s="648"/>
      <c r="X5" s="648"/>
      <c r="Y5" s="648"/>
      <c r="Z5" s="648"/>
      <c r="AA5" s="648"/>
      <c r="AB5" s="648"/>
      <c r="AC5" s="648"/>
      <c r="AD5" s="648"/>
      <c r="AE5" s="648"/>
      <c r="AF5" s="648"/>
      <c r="AG5" s="64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50"/>
      <c r="C9" s="650"/>
      <c r="D9" s="651" t="s">
        <v>261</v>
      </c>
      <c r="E9" s="651"/>
      <c r="F9" s="651"/>
      <c r="G9" s="651"/>
      <c r="H9" s="651"/>
      <c r="I9" s="651"/>
      <c r="J9" s="651"/>
      <c r="K9" s="651"/>
      <c r="L9" s="651"/>
      <c r="M9" s="651"/>
      <c r="N9" s="651"/>
      <c r="O9" s="651"/>
      <c r="P9" s="651"/>
      <c r="Q9" s="651"/>
      <c r="R9" s="651"/>
      <c r="S9" s="651"/>
      <c r="T9" s="651"/>
      <c r="U9" s="651"/>
      <c r="V9" s="651"/>
      <c r="W9" s="651"/>
      <c r="X9" s="651"/>
      <c r="Y9" s="651"/>
      <c r="Z9" s="651"/>
      <c r="AA9" s="48"/>
      <c r="AB9" s="48"/>
      <c r="AC9" s="48"/>
      <c r="AD9" s="48"/>
      <c r="AE9" s="48"/>
      <c r="AF9" s="48"/>
      <c r="AG9" s="48"/>
      <c r="AJ9" s="176">
        <v>1</v>
      </c>
    </row>
    <row r="10" spans="1:45" ht="16.149999999999999" customHeight="1">
      <c r="A10" s="2"/>
      <c r="B10" s="653"/>
      <c r="C10" s="653"/>
      <c r="D10" s="654" t="s">
        <v>262</v>
      </c>
      <c r="E10" s="654"/>
      <c r="F10" s="654"/>
      <c r="G10" s="654"/>
      <c r="H10" s="654"/>
      <c r="I10" s="654"/>
      <c r="J10" s="654"/>
      <c r="K10" s="654"/>
      <c r="L10" s="654"/>
      <c r="M10" s="654"/>
      <c r="N10" s="654"/>
      <c r="O10" s="654"/>
      <c r="P10" s="654"/>
      <c r="Q10" s="654"/>
      <c r="R10" s="654"/>
      <c r="S10" s="654"/>
      <c r="T10" s="654"/>
      <c r="U10" s="654"/>
      <c r="V10" s="654"/>
      <c r="W10" s="654"/>
      <c r="X10" s="654"/>
      <c r="Y10" s="654"/>
      <c r="Z10" s="654"/>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9" t="s">
        <v>15</v>
      </c>
      <c r="C16" s="652"/>
      <c r="D16" s="652"/>
      <c r="E16" s="610">
        <v>6</v>
      </c>
      <c r="F16" s="610"/>
      <c r="G16" s="20" t="s">
        <v>16</v>
      </c>
      <c r="H16" s="610">
        <v>10</v>
      </c>
      <c r="I16" s="610"/>
      <c r="J16" s="20" t="s">
        <v>264</v>
      </c>
      <c r="K16" s="20"/>
      <c r="L16" s="20" t="s">
        <v>265</v>
      </c>
      <c r="M16" s="20" t="s">
        <v>15</v>
      </c>
      <c r="N16" s="20"/>
      <c r="O16" s="610">
        <v>7</v>
      </c>
      <c r="P16" s="610"/>
      <c r="Q16" s="20" t="s">
        <v>16</v>
      </c>
      <c r="R16" s="610">
        <v>3</v>
      </c>
      <c r="S16" s="610"/>
      <c r="T16" s="21" t="s">
        <v>264</v>
      </c>
      <c r="V16" s="604">
        <f>IF(E16=O16,R16-H16+1,IF(O16-E16=1,12-H16+1+R16,IF(O16-E16=2,12-H16+1+R16+12,"エラー")))</f>
        <v>6</v>
      </c>
      <c r="W16" s="604"/>
      <c r="X16" s="604"/>
      <c r="Y16" s="605"/>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9" t="s">
        <v>15</v>
      </c>
      <c r="C21" s="652"/>
      <c r="D21" s="652"/>
      <c r="E21" s="610">
        <v>6</v>
      </c>
      <c r="F21" s="610"/>
      <c r="G21" s="20" t="s">
        <v>16</v>
      </c>
      <c r="H21" s="610">
        <v>10</v>
      </c>
      <c r="I21" s="610"/>
      <c r="J21" s="20" t="s">
        <v>264</v>
      </c>
      <c r="K21" s="20"/>
      <c r="L21" s="20" t="s">
        <v>265</v>
      </c>
      <c r="M21" s="20" t="s">
        <v>15</v>
      </c>
      <c r="N21" s="20"/>
      <c r="O21" s="610">
        <v>7</v>
      </c>
      <c r="P21" s="610"/>
      <c r="Q21" s="20" t="s">
        <v>16</v>
      </c>
      <c r="R21" s="610">
        <v>3</v>
      </c>
      <c r="S21" s="610"/>
      <c r="T21" s="21" t="s">
        <v>264</v>
      </c>
      <c r="V21" s="604">
        <f>IF(E21=O21,R21-H21+1,IF(O21-E21=1,12-H21+1+R21,IF(O21-E21=2,12-H21+1+R21+12,"エラー")))</f>
        <v>6</v>
      </c>
      <c r="W21" s="604"/>
      <c r="X21" s="604"/>
      <c r="Y21" s="605"/>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8" t="s">
        <v>342</v>
      </c>
      <c r="Y27" s="659"/>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6">
        <f>SUM(AB34,AB36)</f>
        <v>216000</v>
      </c>
      <c r="AC33" s="606"/>
      <c r="AD33" s="606"/>
      <c r="AE33" s="606"/>
      <c r="AF33" s="606"/>
      <c r="AG33" s="37" t="s">
        <v>270</v>
      </c>
    </row>
    <row r="34" spans="1:47" ht="16.149999999999999" customHeight="1">
      <c r="A34" s="53"/>
      <c r="B34" s="655" t="s">
        <v>271</v>
      </c>
      <c r="C34" s="607"/>
      <c r="D34" s="607"/>
      <c r="E34" s="607"/>
      <c r="F34" s="607"/>
      <c r="G34" s="607"/>
      <c r="H34" s="607"/>
      <c r="I34" s="607"/>
      <c r="J34" s="607"/>
      <c r="K34" s="607"/>
      <c r="L34" s="607"/>
      <c r="M34" s="607"/>
      <c r="N34" s="607"/>
      <c r="O34" s="607"/>
      <c r="P34" s="607"/>
      <c r="Q34" s="607"/>
      <c r="R34" s="607"/>
      <c r="S34" s="607"/>
      <c r="T34" s="607"/>
      <c r="U34" s="607"/>
      <c r="V34" s="607"/>
      <c r="W34" s="607"/>
      <c r="X34" s="14"/>
      <c r="Y34" s="14" t="s">
        <v>272</v>
      </c>
      <c r="Z34" s="14"/>
      <c r="AA34" s="14"/>
      <c r="AB34" s="608">
        <f>AB35*V21*10</f>
        <v>132000</v>
      </c>
      <c r="AC34" s="608"/>
      <c r="AD34" s="608"/>
      <c r="AE34" s="608"/>
      <c r="AF34" s="608"/>
      <c r="AG34" s="15" t="s">
        <v>270</v>
      </c>
    </row>
    <row r="35" spans="1:47" ht="16.149999999999999" customHeight="1">
      <c r="A35" s="52"/>
      <c r="B35" s="137"/>
      <c r="C35" s="656" t="s">
        <v>344</v>
      </c>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7">
        <f>IF(AH27=TRUE,'様式96_外来・在宅ベースアップ評価料（Ⅱ）'!M86,'（参考）賃金引き上げ計画書作成のための計算シート'!M53)</f>
        <v>2200</v>
      </c>
      <c r="AC35" s="657"/>
      <c r="AD35" s="657"/>
      <c r="AE35" s="657"/>
      <c r="AF35" s="657"/>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9">
        <f>IFERROR(AA37*AB38*10+AF37*AB39*10,"-")</f>
        <v>84000</v>
      </c>
      <c r="AC36" s="639"/>
      <c r="AD36" s="639"/>
      <c r="AE36" s="639"/>
      <c r="AF36" s="639"/>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1" t="str">
        <f>IF(AH27=FALSE,"届出なし",IF('様式96_外来・在宅ベースアップ評価料（Ⅱ）'!AM113=1,'様式96_外来・在宅ベースアップ評価料（Ⅱ）'!F114,IF('様式96_外来・在宅ベースアップ評価料（Ⅱ）'!AM113=2,'様式96_外来・在宅ベースアップ評価料（Ⅱ）'!F115,IF('様式96_外来・在宅ベースアップ評価料（Ⅱ）'!AM113=3,'様式96_外来・在宅ベースアップ評価料（Ⅱ）'!F116,IF('様式96_外来・在宅ベースアップ評価料（Ⅱ）'!AM113=4,'様式96_外来・在宅ベースアップ評価料（Ⅱ）'!F117,IF('様式96_外来・在宅ベースアップ評価料（Ⅱ）'!AM113=5,'様式96_外来・在宅ベースアップ評価料（Ⅱ）'!F118,IF('様式96_外来・在宅ベースアップ評価料（Ⅱ）'!AM113=6,'様式96_外来・在宅ベースアップ評価料（Ⅱ）'!F119,IF('様式96_外来・在宅ベースアップ評価料（Ⅱ）'!AM113=8,'様式96_外来・在宅ベースアップ評価料（Ⅱ）'!F120,IF('様式96_外来・在宅ベースアップ評価料（Ⅱ）'!AM113=9,'様式96_外来・在宅ベースアップ評価料（Ⅱ）'!F121,"届出なし")))))))))</f>
        <v>外来・在宅ベースアップ評価料（Ⅱ）1</v>
      </c>
      <c r="S37" s="641"/>
      <c r="T37" s="641"/>
      <c r="U37" s="641"/>
      <c r="V37" s="641"/>
      <c r="W37" s="58" t="s">
        <v>132</v>
      </c>
      <c r="X37" s="642" t="s">
        <v>347</v>
      </c>
      <c r="Y37" s="643"/>
      <c r="Z37" s="643"/>
      <c r="AA37" s="131">
        <f>VLOOKUP(R37,'リスト（外来）'!C:D,2,FALSE)</f>
        <v>8</v>
      </c>
      <c r="AB37" s="144" t="s">
        <v>276</v>
      </c>
      <c r="AC37" s="643" t="s">
        <v>348</v>
      </c>
      <c r="AD37" s="643"/>
      <c r="AE37" s="643"/>
      <c r="AF37" s="131">
        <f>VLOOKUP(R37,'リスト（外来）'!C:E,3,FALSE)</f>
        <v>1</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3">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600</v>
      </c>
      <c r="AC38" s="663"/>
      <c r="AD38" s="663"/>
      <c r="AE38" s="663"/>
      <c r="AF38" s="663"/>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3">
        <f>IF(R37&lt;&gt;"届出なし",('様式96_外来・在宅ベースアップ評価料（Ⅱ）'!M65+'様式96_外来・在宅ベースアップ評価料（Ⅱ）'!M73)*V21,"-")</f>
        <v>3600</v>
      </c>
      <c r="AC39" s="633"/>
      <c r="AD39" s="633"/>
      <c r="AE39" s="633"/>
      <c r="AF39" s="633"/>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0">
        <v>0</v>
      </c>
      <c r="AC40" s="590"/>
      <c r="AD40" s="590"/>
      <c r="AE40" s="590"/>
      <c r="AF40" s="590"/>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1">
        <v>0</v>
      </c>
      <c r="AC41" s="621"/>
      <c r="AD41" s="621"/>
      <c r="AE41" s="621"/>
      <c r="AF41" s="621"/>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0">
        <f>IFERROR(AB33-AB40+AB41,"")</f>
        <v>216000</v>
      </c>
      <c r="AC42" s="620"/>
      <c r="AD42" s="620"/>
      <c r="AE42" s="620"/>
      <c r="AF42" s="620"/>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7">
        <v>301000</v>
      </c>
      <c r="AC47" s="627"/>
      <c r="AD47" s="627"/>
      <c r="AE47" s="627"/>
      <c r="AF47" s="627"/>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4"/>
      <c r="AC48" s="644"/>
      <c r="AD48" s="644"/>
      <c r="AE48" s="644"/>
      <c r="AF48" s="644"/>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40">
        <v>301000</v>
      </c>
      <c r="AC49" s="640"/>
      <c r="AD49" s="640"/>
      <c r="AE49" s="640"/>
      <c r="AF49" s="640"/>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5"/>
      <c r="AC50" s="625"/>
      <c r="AD50" s="625"/>
      <c r="AE50" s="625"/>
      <c r="AF50" s="625"/>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4">
        <f>AB47-SUM(AB48:AF50)</f>
        <v>0</v>
      </c>
      <c r="AC51" s="624"/>
      <c r="AD51" s="624"/>
      <c r="AE51" s="624"/>
      <c r="AF51" s="624"/>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1">
        <v>3.5</v>
      </c>
      <c r="AC74" s="591"/>
      <c r="AD74" s="591"/>
      <c r="AE74" s="591"/>
      <c r="AF74" s="591"/>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0">
        <v>1330000</v>
      </c>
      <c r="AC75" s="590"/>
      <c r="AD75" s="590"/>
      <c r="AE75" s="590"/>
      <c r="AF75" s="590"/>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4">
        <v>1358000</v>
      </c>
      <c r="AC76" s="594"/>
      <c r="AD76" s="594"/>
      <c r="AE76" s="594"/>
      <c r="AF76" s="594"/>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4">
        <f>AB76-AB75</f>
        <v>28000</v>
      </c>
      <c r="AC77" s="644"/>
      <c r="AD77" s="644"/>
      <c r="AE77" s="644"/>
      <c r="AF77" s="644"/>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5">
        <f>1000*AB74</f>
        <v>3500</v>
      </c>
      <c r="AC78" s="645"/>
      <c r="AD78" s="645"/>
      <c r="AE78" s="645"/>
      <c r="AF78" s="645"/>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5">
        <v>28000</v>
      </c>
      <c r="AC79" s="625"/>
      <c r="AD79" s="625"/>
      <c r="AE79" s="625"/>
      <c r="AF79" s="625"/>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2">
        <f>IFERROR(AB79/AB75*100,0)</f>
        <v>2.1052631578947367</v>
      </c>
      <c r="AC80" s="592"/>
      <c r="AD80" s="592"/>
      <c r="AE80" s="592"/>
      <c r="AF80" s="592"/>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1"/>
      <c r="AC83" s="591"/>
      <c r="AD83" s="591"/>
      <c r="AE83" s="591"/>
      <c r="AF83" s="591"/>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0"/>
      <c r="AC84" s="590"/>
      <c r="AD84" s="590"/>
      <c r="AE84" s="590"/>
      <c r="AF84" s="590"/>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4"/>
      <c r="AC85" s="594"/>
      <c r="AD85" s="594"/>
      <c r="AE85" s="594"/>
      <c r="AF85" s="594"/>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5">
        <f>AB85-AB84</f>
        <v>0</v>
      </c>
      <c r="AC86" s="595"/>
      <c r="AD86" s="595"/>
      <c r="AE86" s="595"/>
      <c r="AF86" s="595"/>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0"/>
      <c r="AC87" s="590"/>
      <c r="AD87" s="590"/>
      <c r="AE87" s="590"/>
      <c r="AF87" s="590"/>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5"/>
      <c r="AC88" s="625"/>
      <c r="AD88" s="625"/>
      <c r="AE88" s="625"/>
      <c r="AF88" s="625"/>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2">
        <f>IFERROR(AB88/AB84*100,0)</f>
        <v>0</v>
      </c>
      <c r="AC89" s="592"/>
      <c r="AD89" s="592"/>
      <c r="AE89" s="592"/>
      <c r="AF89" s="592"/>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9"/>
      <c r="AB91" s="589"/>
      <c r="AC91" s="589"/>
      <c r="AD91" s="589"/>
      <c r="AE91" s="589"/>
      <c r="AF91" s="589"/>
      <c r="AG91" s="589"/>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1"/>
      <c r="AC92" s="591"/>
      <c r="AD92" s="591"/>
      <c r="AE92" s="591"/>
      <c r="AF92" s="591"/>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0"/>
      <c r="AC93" s="590"/>
      <c r="AD93" s="590"/>
      <c r="AE93" s="590"/>
      <c r="AF93" s="590"/>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4"/>
      <c r="AC94" s="594"/>
      <c r="AD94" s="594"/>
      <c r="AE94" s="594"/>
      <c r="AF94" s="594"/>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5">
        <f>AB94-AB93</f>
        <v>0</v>
      </c>
      <c r="AC95" s="595"/>
      <c r="AD95" s="595"/>
      <c r="AE95" s="595"/>
      <c r="AF95" s="595"/>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0"/>
      <c r="AC96" s="590"/>
      <c r="AD96" s="590"/>
      <c r="AE96" s="590"/>
      <c r="AF96" s="590"/>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5"/>
      <c r="AC97" s="625"/>
      <c r="AD97" s="625"/>
      <c r="AE97" s="625"/>
      <c r="AF97" s="625"/>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2">
        <f>IFERROR(AB97/AB93*100,0)</f>
        <v>0</v>
      </c>
      <c r="AC98" s="592"/>
      <c r="AD98" s="592"/>
      <c r="AE98" s="592"/>
      <c r="AF98" s="592"/>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9"/>
      <c r="AB100" s="589"/>
      <c r="AC100" s="589"/>
      <c r="AD100" s="589"/>
      <c r="AE100" s="589"/>
      <c r="AF100" s="589"/>
      <c r="AG100" s="589"/>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1"/>
      <c r="AC101" s="591"/>
      <c r="AD101" s="591"/>
      <c r="AE101" s="591"/>
      <c r="AF101" s="591"/>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0"/>
      <c r="AC102" s="590"/>
      <c r="AD102" s="590"/>
      <c r="AE102" s="590"/>
      <c r="AF102" s="590"/>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4"/>
      <c r="AC103" s="594"/>
      <c r="AD103" s="594"/>
      <c r="AE103" s="594"/>
      <c r="AF103" s="594"/>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5">
        <f>AB103-AB102</f>
        <v>0</v>
      </c>
      <c r="AC104" s="595"/>
      <c r="AD104" s="595"/>
      <c r="AE104" s="595"/>
      <c r="AF104" s="595"/>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0"/>
      <c r="AC105" s="590"/>
      <c r="AD105" s="590"/>
      <c r="AE105" s="590"/>
      <c r="AF105" s="590"/>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5"/>
      <c r="AC106" s="625"/>
      <c r="AD106" s="625"/>
      <c r="AE106" s="625"/>
      <c r="AF106" s="625"/>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2">
        <f>IFERROR(AB106/AB102*100,0)</f>
        <v>0</v>
      </c>
      <c r="AC107" s="592"/>
      <c r="AD107" s="592"/>
      <c r="AE107" s="592"/>
      <c r="AF107" s="592"/>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9"/>
      <c r="AB109" s="589"/>
      <c r="AC109" s="589"/>
      <c r="AD109" s="589"/>
      <c r="AE109" s="589"/>
      <c r="AF109" s="589"/>
      <c r="AG109" s="589"/>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1"/>
      <c r="AC110" s="591"/>
      <c r="AD110" s="591"/>
      <c r="AE110" s="591"/>
      <c r="AF110" s="591"/>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0"/>
      <c r="AC111" s="590"/>
      <c r="AD111" s="590"/>
      <c r="AE111" s="590"/>
      <c r="AF111" s="590"/>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4"/>
      <c r="AC112" s="594"/>
      <c r="AD112" s="594"/>
      <c r="AE112" s="594"/>
      <c r="AF112" s="594"/>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5">
        <f>AB112-AB111</f>
        <v>0</v>
      </c>
      <c r="AC113" s="595"/>
      <c r="AD113" s="595"/>
      <c r="AE113" s="595"/>
      <c r="AF113" s="595"/>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0"/>
      <c r="AC114" s="590"/>
      <c r="AD114" s="590"/>
      <c r="AE114" s="590"/>
      <c r="AF114" s="590"/>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5"/>
      <c r="AC115" s="625"/>
      <c r="AD115" s="625"/>
      <c r="AE115" s="625"/>
      <c r="AF115" s="625"/>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2">
        <f>IFERROR(AB115/AB111*100,0)</f>
        <v>0</v>
      </c>
      <c r="AC116" s="592"/>
      <c r="AD116" s="592"/>
      <c r="AE116" s="592"/>
      <c r="AF116" s="592"/>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5"/>
      <c r="AB119" s="585"/>
      <c r="AC119" s="585"/>
      <c r="AD119" s="585"/>
      <c r="AE119" s="585"/>
      <c r="AF119" s="585"/>
      <c r="AG119" s="585"/>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6">
        <v>0</v>
      </c>
      <c r="AC120" s="586"/>
      <c r="AD120" s="586"/>
      <c r="AE120" s="586"/>
      <c r="AF120" s="586"/>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7"/>
      <c r="AC121" s="587"/>
      <c r="AD121" s="587"/>
      <c r="AE121" s="587"/>
      <c r="AF121" s="587"/>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7">
        <v>0</v>
      </c>
      <c r="AC122" s="587"/>
      <c r="AD122" s="587"/>
      <c r="AE122" s="587"/>
      <c r="AF122" s="587"/>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1"/>
      <c r="AC123" s="601"/>
      <c r="AD123" s="601"/>
      <c r="AE123" s="601"/>
      <c r="AF123" s="601"/>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7">
        <v>0</v>
      </c>
      <c r="AC124" s="587"/>
      <c r="AD124" s="587"/>
      <c r="AE124" s="587"/>
      <c r="AF124" s="587"/>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00">
        <f>AB123-AB121</f>
        <v>0</v>
      </c>
      <c r="AC125" s="600"/>
      <c r="AD125" s="600"/>
      <c r="AE125" s="600"/>
      <c r="AF125" s="600"/>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6">
        <f>AB124-AB122</f>
        <v>0</v>
      </c>
      <c r="AC126" s="636"/>
      <c r="AD126" s="636"/>
      <c r="AE126" s="636"/>
      <c r="AF126" s="636"/>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5">
        <f>1000*AB120</f>
        <v>0</v>
      </c>
      <c r="AC127" s="635"/>
      <c r="AD127" s="635"/>
      <c r="AE127" s="635"/>
      <c r="AF127" s="635"/>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4">
        <v>0</v>
      </c>
      <c r="AC128" s="634"/>
      <c r="AD128" s="634"/>
      <c r="AE128" s="634"/>
      <c r="AF128" s="634"/>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2">
        <f>IFERROR(AB128/AB122*100,0)</f>
        <v>0</v>
      </c>
      <c r="AC129" s="592"/>
      <c r="AD129" s="592"/>
      <c r="AE129" s="592"/>
      <c r="AF129" s="592"/>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5"/>
      <c r="AB131" s="585"/>
      <c r="AC131" s="585"/>
      <c r="AD131" s="585"/>
      <c r="AE131" s="585"/>
      <c r="AF131" s="585"/>
      <c r="AG131" s="585"/>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6">
        <v>1.2</v>
      </c>
      <c r="AC132" s="586"/>
      <c r="AD132" s="586"/>
      <c r="AE132" s="586"/>
      <c r="AF132" s="586"/>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7"/>
      <c r="AC133" s="587"/>
      <c r="AD133" s="587"/>
      <c r="AE133" s="587"/>
      <c r="AF133" s="587"/>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7">
        <v>240000</v>
      </c>
      <c r="AC134" s="587"/>
      <c r="AD134" s="587"/>
      <c r="AE134" s="587"/>
      <c r="AF134" s="587"/>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1"/>
      <c r="AC135" s="601"/>
      <c r="AD135" s="601"/>
      <c r="AE135" s="601"/>
      <c r="AF135" s="601"/>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7">
        <v>249600</v>
      </c>
      <c r="AC136" s="587"/>
      <c r="AD136" s="587"/>
      <c r="AE136" s="587"/>
      <c r="AF136" s="587"/>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00">
        <f>AB135-AB133</f>
        <v>0</v>
      </c>
      <c r="AC137" s="600"/>
      <c r="AD137" s="600"/>
      <c r="AE137" s="600"/>
      <c r="AF137" s="600"/>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6">
        <f>AB136-AB134</f>
        <v>9600</v>
      </c>
      <c r="AC138" s="636"/>
      <c r="AD138" s="636"/>
      <c r="AE138" s="636"/>
      <c r="AF138" s="636"/>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5">
        <f>1000*AB132</f>
        <v>1200</v>
      </c>
      <c r="AC139" s="635"/>
      <c r="AD139" s="635"/>
      <c r="AE139" s="635"/>
      <c r="AF139" s="635"/>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4">
        <v>9600</v>
      </c>
      <c r="AC140" s="634"/>
      <c r="AD140" s="634"/>
      <c r="AE140" s="634"/>
      <c r="AF140" s="634"/>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2">
        <f>IFERROR(AB140/AB134*100,0)</f>
        <v>4</v>
      </c>
      <c r="AC141" s="592"/>
      <c r="AD141" s="592"/>
      <c r="AE141" s="592"/>
      <c r="AF141" s="592"/>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1</v>
      </c>
    </row>
    <row r="146" spans="1:36" ht="15.6" customHeight="1">
      <c r="A146" s="16"/>
      <c r="B146" s="3"/>
      <c r="C146" s="3" t="s">
        <v>334</v>
      </c>
      <c r="D146" s="3"/>
      <c r="E146" s="3"/>
      <c r="F146" s="3"/>
      <c r="G146" s="3"/>
      <c r="H146" s="3"/>
      <c r="I146" s="3"/>
      <c r="J146" s="637"/>
      <c r="K146" s="637"/>
      <c r="L146" s="637"/>
      <c r="M146" s="637"/>
      <c r="N146" s="637"/>
      <c r="O146" s="637"/>
      <c r="P146" s="637"/>
      <c r="Q146" s="637"/>
      <c r="R146" s="637"/>
      <c r="S146" s="637"/>
      <c r="T146" s="637"/>
      <c r="U146" s="637"/>
      <c r="V146" s="637"/>
      <c r="W146" s="637"/>
      <c r="X146" s="637"/>
      <c r="Y146" s="637"/>
      <c r="Z146" s="637"/>
      <c r="AA146" s="637"/>
      <c r="AB146" s="637"/>
      <c r="AC146" s="637"/>
      <c r="AD146" s="637"/>
      <c r="AE146" s="637"/>
      <c r="AF146" s="637"/>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8" t="s">
        <v>1781</v>
      </c>
      <c r="D149" s="638"/>
      <c r="E149" s="638"/>
      <c r="F149" s="638"/>
      <c r="G149" s="638"/>
      <c r="H149" s="638"/>
      <c r="I149" s="638"/>
      <c r="J149" s="638"/>
      <c r="K149" s="638"/>
      <c r="L149" s="638"/>
      <c r="M149" s="638"/>
      <c r="N149" s="638"/>
      <c r="O149" s="638"/>
      <c r="P149" s="638"/>
      <c r="Q149" s="638"/>
      <c r="R149" s="638"/>
      <c r="S149" s="638"/>
      <c r="T149" s="638"/>
      <c r="U149" s="638"/>
      <c r="V149" s="638"/>
      <c r="W149" s="638"/>
      <c r="X149" s="638"/>
      <c r="Y149" s="638"/>
      <c r="Z149" s="638"/>
      <c r="AA149" s="638"/>
      <c r="AB149" s="638"/>
      <c r="AC149" s="638"/>
      <c r="AD149" s="638"/>
      <c r="AE149" s="638"/>
      <c r="AF149" s="638"/>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7" t="s">
        <v>335</v>
      </c>
      <c r="B152" s="597"/>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199"/>
      <c r="AI152" s="199"/>
    </row>
    <row r="153" spans="1:36" ht="15" customHeight="1">
      <c r="A153" s="597"/>
      <c r="B153" s="597"/>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199"/>
      <c r="AI153" s="199"/>
    </row>
    <row r="154" spans="1:36" ht="15" customHeight="1">
      <c r="A154" s="3"/>
      <c r="B154" s="3"/>
      <c r="C154" s="3" t="s">
        <v>15</v>
      </c>
      <c r="D154" s="3"/>
      <c r="E154" s="598">
        <v>6</v>
      </c>
      <c r="F154" s="598"/>
      <c r="G154" s="3" t="s">
        <v>16</v>
      </c>
      <c r="H154" s="598">
        <v>9</v>
      </c>
      <c r="I154" s="598"/>
      <c r="J154" s="3" t="s">
        <v>264</v>
      </c>
      <c r="K154" s="598">
        <v>30</v>
      </c>
      <c r="L154" s="598"/>
      <c r="M154" s="3" t="s">
        <v>18</v>
      </c>
      <c r="N154" s="3"/>
      <c r="O154" s="3"/>
      <c r="P154" s="3" t="s">
        <v>336</v>
      </c>
      <c r="Q154" s="3"/>
      <c r="R154" s="3"/>
      <c r="S154" s="3"/>
      <c r="T154" s="599" t="s">
        <v>1776</v>
      </c>
      <c r="U154" s="599"/>
      <c r="V154" s="599"/>
      <c r="W154" s="599"/>
      <c r="X154" s="599"/>
      <c r="Y154" s="599"/>
      <c r="Z154" s="599"/>
      <c r="AA154" s="599"/>
      <c r="AB154" s="599"/>
      <c r="AC154" s="599"/>
      <c r="AD154" s="599"/>
      <c r="AE154" s="599"/>
      <c r="AF154" s="599"/>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6" zoomScaleNormal="100" zoomScaleSheetLayoutView="100" workbookViewId="0">
      <selection activeCell="AR12" sqref="AR1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7"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7" ht="16.149999999999999" customHeight="1">
      <c r="A2" s="616" t="s">
        <v>367</v>
      </c>
      <c r="B2" s="616"/>
      <c r="C2" s="616"/>
      <c r="D2" s="616"/>
      <c r="E2" s="616"/>
      <c r="F2" s="616"/>
      <c r="G2" s="616"/>
      <c r="H2" s="616"/>
      <c r="I2" s="616"/>
      <c r="J2" s="616"/>
      <c r="K2" s="616"/>
      <c r="L2" s="616"/>
      <c r="M2" s="616"/>
      <c r="N2" s="616"/>
      <c r="O2" s="616"/>
      <c r="P2" s="616"/>
      <c r="Q2" s="616"/>
      <c r="R2" s="616"/>
      <c r="S2" s="617">
        <v>6</v>
      </c>
      <c r="T2" s="617"/>
      <c r="U2" s="164" t="s">
        <v>256</v>
      </c>
      <c r="V2" s="2"/>
      <c r="W2" s="2"/>
      <c r="X2" s="2"/>
      <c r="Y2" s="2"/>
      <c r="Z2" s="2"/>
      <c r="AA2" s="2"/>
      <c r="AB2" s="2"/>
      <c r="AC2" s="2"/>
      <c r="AD2" s="2"/>
      <c r="AE2" s="2"/>
      <c r="AF2" s="2"/>
      <c r="AG2" s="2"/>
      <c r="AH2" s="195"/>
      <c r="AI2" s="195"/>
      <c r="AJ2" s="195"/>
    </row>
    <row r="3" spans="1:37"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7" ht="16.350000000000001" customHeight="1">
      <c r="A4" s="48"/>
      <c r="B4" s="48"/>
      <c r="C4" s="48"/>
      <c r="D4" s="48"/>
      <c r="E4" s="48"/>
      <c r="F4" s="48"/>
      <c r="G4" s="48"/>
      <c r="H4" s="48"/>
      <c r="I4" s="48"/>
      <c r="J4" s="48"/>
      <c r="K4" s="48"/>
      <c r="L4" s="48"/>
      <c r="M4" s="48"/>
      <c r="N4" s="48"/>
      <c r="O4" s="48"/>
      <c r="P4" s="48"/>
      <c r="Q4" s="611" t="s">
        <v>257</v>
      </c>
      <c r="R4" s="611"/>
      <c r="S4" s="611"/>
      <c r="T4" s="611"/>
      <c r="U4" s="611"/>
      <c r="V4" s="646" t="str">
        <f>IF('様式95_外来・在宅ベースアップ評価料（Ⅰ）'!H5=0,"",'様式95_外来・在宅ベースアップ評価料（Ⅰ）'!H5)</f>
        <v>1234567</v>
      </c>
      <c r="W4" s="646"/>
      <c r="X4" s="646"/>
      <c r="Y4" s="646"/>
      <c r="Z4" s="646"/>
      <c r="AA4" s="646"/>
      <c r="AB4" s="646"/>
      <c r="AC4" s="646"/>
      <c r="AD4" s="646"/>
      <c r="AE4" s="646"/>
      <c r="AF4" s="646"/>
      <c r="AG4" s="647"/>
      <c r="AH4" s="181"/>
      <c r="AI4" s="196"/>
      <c r="AJ4" s="196"/>
    </row>
    <row r="5" spans="1:37" ht="16.149999999999999" customHeight="1">
      <c r="A5" s="48"/>
      <c r="B5" s="48"/>
      <c r="C5" s="48"/>
      <c r="D5" s="48"/>
      <c r="E5" s="48"/>
      <c r="F5" s="48"/>
      <c r="G5" s="48"/>
      <c r="H5" s="48"/>
      <c r="I5" s="48"/>
      <c r="J5" s="48"/>
      <c r="K5" s="48"/>
      <c r="L5" s="48"/>
      <c r="M5" s="48"/>
      <c r="N5" s="48"/>
      <c r="O5" s="48"/>
      <c r="P5" s="48"/>
      <c r="Q5" s="661" t="s">
        <v>258</v>
      </c>
      <c r="R5" s="661"/>
      <c r="S5" s="661"/>
      <c r="T5" s="661"/>
      <c r="U5" s="662"/>
      <c r="V5" s="648" t="str">
        <f>'様式96_外来・在宅ベースアップ評価料（Ⅱ）'!H6</f>
        <v>●●病院</v>
      </c>
      <c r="W5" s="648"/>
      <c r="X5" s="648"/>
      <c r="Y5" s="648"/>
      <c r="Z5" s="648"/>
      <c r="AA5" s="648"/>
      <c r="AB5" s="648"/>
      <c r="AC5" s="648"/>
      <c r="AD5" s="648"/>
      <c r="AE5" s="648"/>
      <c r="AF5" s="648"/>
      <c r="AG5" s="649"/>
      <c r="AH5" s="207"/>
      <c r="AI5" s="181"/>
      <c r="AJ5" s="181"/>
    </row>
    <row r="6" spans="1:37"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7"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7"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7" ht="16.149999999999999" customHeight="1">
      <c r="A9" s="2"/>
      <c r="B9" s="650"/>
      <c r="C9" s="650"/>
      <c r="D9" s="651" t="s">
        <v>261</v>
      </c>
      <c r="E9" s="651"/>
      <c r="F9" s="651"/>
      <c r="G9" s="651"/>
      <c r="H9" s="651"/>
      <c r="I9" s="651"/>
      <c r="J9" s="651"/>
      <c r="K9" s="651"/>
      <c r="L9" s="651"/>
      <c r="M9" s="651"/>
      <c r="N9" s="651"/>
      <c r="O9" s="651"/>
      <c r="P9" s="651"/>
      <c r="Q9" s="651"/>
      <c r="R9" s="651"/>
      <c r="S9" s="651"/>
      <c r="T9" s="651"/>
      <c r="U9" s="651"/>
      <c r="V9" s="651"/>
      <c r="W9" s="651"/>
      <c r="X9" s="651"/>
      <c r="Y9" s="651"/>
      <c r="Z9" s="651"/>
      <c r="AA9" s="48"/>
      <c r="AB9" s="48"/>
      <c r="AC9" s="48"/>
      <c r="AD9" s="48"/>
      <c r="AE9" s="48"/>
      <c r="AF9" s="48"/>
      <c r="AG9" s="48"/>
      <c r="AH9" s="206"/>
      <c r="AK9" s="176">
        <v>1</v>
      </c>
    </row>
    <row r="10" spans="1:37" ht="16.149999999999999" customHeight="1">
      <c r="A10" s="2"/>
      <c r="B10" s="653"/>
      <c r="C10" s="653"/>
      <c r="D10" s="654" t="s">
        <v>262</v>
      </c>
      <c r="E10" s="654"/>
      <c r="F10" s="654"/>
      <c r="G10" s="654"/>
      <c r="H10" s="654"/>
      <c r="I10" s="654"/>
      <c r="J10" s="654"/>
      <c r="K10" s="654"/>
      <c r="L10" s="654"/>
      <c r="M10" s="654"/>
      <c r="N10" s="654"/>
      <c r="O10" s="654"/>
      <c r="P10" s="654"/>
      <c r="Q10" s="654"/>
      <c r="R10" s="654"/>
      <c r="S10" s="654"/>
      <c r="T10" s="654"/>
      <c r="U10" s="654"/>
      <c r="V10" s="654"/>
      <c r="W10" s="654"/>
      <c r="X10" s="654"/>
      <c r="Y10" s="654"/>
      <c r="Z10" s="654"/>
      <c r="AA10" s="48"/>
      <c r="AB10" s="48"/>
      <c r="AC10" s="48"/>
      <c r="AD10" s="48"/>
      <c r="AE10" s="48"/>
      <c r="AF10" s="48"/>
      <c r="AG10" s="48"/>
      <c r="AH10" s="206"/>
    </row>
    <row r="11" spans="1:37"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7"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7"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7"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7"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7" ht="16.149999999999999" customHeight="1" thickBot="1">
      <c r="B16" s="609" t="s">
        <v>15</v>
      </c>
      <c r="C16" s="652"/>
      <c r="D16" s="652"/>
      <c r="E16" s="610">
        <v>6</v>
      </c>
      <c r="F16" s="610"/>
      <c r="G16" s="20"/>
      <c r="H16" s="610">
        <v>10</v>
      </c>
      <c r="I16" s="610"/>
      <c r="J16" s="20" t="s">
        <v>264</v>
      </c>
      <c r="K16" s="20"/>
      <c r="L16" s="20" t="s">
        <v>265</v>
      </c>
      <c r="M16" s="20" t="s">
        <v>15</v>
      </c>
      <c r="N16" s="20"/>
      <c r="O16" s="610">
        <v>7</v>
      </c>
      <c r="P16" s="610"/>
      <c r="Q16" s="20" t="s">
        <v>16</v>
      </c>
      <c r="R16" s="610">
        <v>3</v>
      </c>
      <c r="S16" s="610"/>
      <c r="T16" s="21" t="s">
        <v>264</v>
      </c>
      <c r="V16" s="604">
        <f>IF(E16=O16,R16-H16+1,IF(O16-E16=1,12-H16+1+R16,IF(O16-E16=2,12-H16+1+R16+12,"エラー")))</f>
        <v>6</v>
      </c>
      <c r="W16" s="604"/>
      <c r="X16" s="604"/>
      <c r="Y16" s="605"/>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9" t="s">
        <v>15</v>
      </c>
      <c r="C21" s="652"/>
      <c r="D21" s="652"/>
      <c r="E21" s="610">
        <v>6</v>
      </c>
      <c r="F21" s="610"/>
      <c r="G21" s="20" t="s">
        <v>16</v>
      </c>
      <c r="H21" s="610">
        <v>10</v>
      </c>
      <c r="I21" s="610"/>
      <c r="J21" s="20" t="s">
        <v>264</v>
      </c>
      <c r="K21" s="20"/>
      <c r="L21" s="20" t="s">
        <v>265</v>
      </c>
      <c r="M21" s="20" t="s">
        <v>15</v>
      </c>
      <c r="N21" s="20"/>
      <c r="O21" s="610">
        <v>7</v>
      </c>
      <c r="P21" s="610"/>
      <c r="Q21" s="20" t="s">
        <v>16</v>
      </c>
      <c r="R21" s="610">
        <v>3</v>
      </c>
      <c r="S21" s="610"/>
      <c r="T21" s="21" t="s">
        <v>264</v>
      </c>
      <c r="V21" s="604">
        <f>IF(E21=O21,R21-H21+1,IF(O21-E21=1,12-H21+1+R21,IF(O21-E21=2,12-H21+1+R21+12,"エラー")))</f>
        <v>6</v>
      </c>
      <c r="W21" s="604"/>
      <c r="X21" s="604"/>
      <c r="Y21" s="605"/>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8" t="s">
        <v>342</v>
      </c>
      <c r="Y27" s="659"/>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6">
        <f>SUM(AB34,AB36)</f>
        <v>216000</v>
      </c>
      <c r="AC33" s="606"/>
      <c r="AD33" s="606"/>
      <c r="AE33" s="606"/>
      <c r="AF33" s="606"/>
      <c r="AG33" s="37" t="s">
        <v>270</v>
      </c>
    </row>
    <row r="34" spans="1:41" ht="16.149999999999999" customHeight="1">
      <c r="A34" s="53"/>
      <c r="B34" s="655" t="s">
        <v>370</v>
      </c>
      <c r="C34" s="607"/>
      <c r="D34" s="607"/>
      <c r="E34" s="607"/>
      <c r="F34" s="607"/>
      <c r="G34" s="607"/>
      <c r="H34" s="607"/>
      <c r="I34" s="607"/>
      <c r="J34" s="607"/>
      <c r="K34" s="607"/>
      <c r="L34" s="607"/>
      <c r="M34" s="607"/>
      <c r="N34" s="607"/>
      <c r="O34" s="607"/>
      <c r="P34" s="607"/>
      <c r="Q34" s="607"/>
      <c r="R34" s="607"/>
      <c r="S34" s="607"/>
      <c r="T34" s="607"/>
      <c r="U34" s="607"/>
      <c r="V34" s="607"/>
      <c r="W34" s="607"/>
      <c r="X34" s="14"/>
      <c r="Y34" s="14" t="s">
        <v>272</v>
      </c>
      <c r="Z34" s="14"/>
      <c r="AA34" s="14"/>
      <c r="AB34" s="608">
        <f>AB35*V21*10</f>
        <v>132000</v>
      </c>
      <c r="AC34" s="608"/>
      <c r="AD34" s="608"/>
      <c r="AE34" s="608"/>
      <c r="AF34" s="608"/>
      <c r="AG34" s="15" t="s">
        <v>270</v>
      </c>
    </row>
    <row r="35" spans="1:41" ht="16.149999999999999" customHeight="1">
      <c r="A35" s="52"/>
      <c r="B35" s="137"/>
      <c r="C35" s="656" t="s">
        <v>371</v>
      </c>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7">
        <f>IF(AI27=TRUE,'様式96_外来・在宅ベースアップ評価料（Ⅱ）'!M86,'（参考）賃金引き上げ計画書作成のための計算シート'!M53)</f>
        <v>2200</v>
      </c>
      <c r="AC35" s="657"/>
      <c r="AD35" s="657"/>
      <c r="AE35" s="657"/>
      <c r="AF35" s="657"/>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9">
        <f>IFERROR(AA37*AB38*10+AF37*AB39*10,"-")</f>
        <v>84000</v>
      </c>
      <c r="AC36" s="639"/>
      <c r="AD36" s="639"/>
      <c r="AE36" s="639"/>
      <c r="AF36" s="639"/>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1" t="str">
        <f>IF(AI27=FALSE,"届出なし",IF('様式96_外来・在宅ベースアップ評価料（Ⅱ）'!AN113=1,'様式96_外来・在宅ベースアップ評価料（Ⅱ）'!T114,IF('様式96_外来・在宅ベースアップ評価料（Ⅱ）'!AN113=2,'様式96_外来・在宅ベースアップ評価料（Ⅱ）'!T115,IF('様式96_外来・在宅ベースアップ評価料（Ⅱ）'!AN113=3,'様式96_外来・在宅ベースアップ評価料（Ⅱ）'!T116,IF('様式96_外来・在宅ベースアップ評価料（Ⅱ）'!AN113=4,'様式96_外来・在宅ベースアップ評価料（Ⅱ）'!T117,IF('様式96_外来・在宅ベースアップ評価料（Ⅱ）'!AN113=5,'様式96_外来・在宅ベースアップ評価料（Ⅱ）'!T118,IF('様式96_外来・在宅ベースアップ評価料（Ⅱ）'!AN113=6,'様式96_外来・在宅ベースアップ評価料（Ⅱ）'!T119,IF('様式96_外来・在宅ベースアップ評価料（Ⅱ）'!AN113=8,'様式96_外来・在宅ベースアップ評価料（Ⅱ）'!T120,IF('様式96_外来・在宅ベースアップ評価料（Ⅱ）'!AN113=9,'様式96_外来・在宅ベースアップ評価料（Ⅱ）'!T121,"届出なし")))))))))</f>
        <v>歯科外来・在宅ベースアップ評価料（Ⅱ）1</v>
      </c>
      <c r="S37" s="641"/>
      <c r="T37" s="641"/>
      <c r="U37" s="641"/>
      <c r="V37" s="641"/>
      <c r="W37" s="58" t="s">
        <v>132</v>
      </c>
      <c r="X37" s="642" t="s">
        <v>347</v>
      </c>
      <c r="Y37" s="643"/>
      <c r="Z37" s="643"/>
      <c r="AA37" s="131">
        <f>VLOOKUP(R37,'リスト（外来）'!C:D,2,FALSE)</f>
        <v>8</v>
      </c>
      <c r="AB37" s="144" t="s">
        <v>276</v>
      </c>
      <c r="AC37" s="643" t="s">
        <v>348</v>
      </c>
      <c r="AD37" s="643"/>
      <c r="AE37" s="643"/>
      <c r="AF37" s="131">
        <f>VLOOKUP(R37,'リスト（外来）'!C:E,3,FALSE)</f>
        <v>1</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3">
        <f>IF(R37&lt;&gt;"届出なし",('様式96_外来・在宅ベースアップ評価料（Ⅱ）'!M63+'様式96_外来・在宅ベースアップ評価料（Ⅱ）'!M67+'様式96_外来・在宅ベースアップ評価料（Ⅱ）'!M69+'様式96_外来・在宅ベースアップ評価料（Ⅱ）'!M71+'様式96_外来・在宅ベースアップ評価料（Ⅱ）'!M75+'様式96_外来・在宅ベースアップ評価料（Ⅱ）'!M77)*V21,"-")</f>
        <v>600</v>
      </c>
      <c r="AC38" s="663"/>
      <c r="AD38" s="663"/>
      <c r="AE38" s="663"/>
      <c r="AF38" s="663"/>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3">
        <f>IF(R37&lt;&gt;"届出なし",('様式96_外来・在宅ベースアップ評価料（Ⅱ）'!M65+'様式96_外来・在宅ベースアップ評価料（Ⅱ）'!M73)*V21,"-")</f>
        <v>3600</v>
      </c>
      <c r="AC39" s="633"/>
      <c r="AD39" s="633"/>
      <c r="AE39" s="633"/>
      <c r="AF39" s="633"/>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0">
        <v>0</v>
      </c>
      <c r="AC40" s="590"/>
      <c r="AD40" s="590"/>
      <c r="AE40" s="590"/>
      <c r="AF40" s="590"/>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1">
        <v>0</v>
      </c>
      <c r="AC41" s="621"/>
      <c r="AD41" s="621"/>
      <c r="AE41" s="621"/>
      <c r="AF41" s="621"/>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20">
        <f>IFERROR(AB33-AB40+AB41,"")</f>
        <v>216000</v>
      </c>
      <c r="AC42" s="620"/>
      <c r="AD42" s="620"/>
      <c r="AE42" s="620"/>
      <c r="AF42" s="620"/>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7">
        <v>366000</v>
      </c>
      <c r="AC47" s="627"/>
      <c r="AD47" s="627"/>
      <c r="AE47" s="627"/>
      <c r="AF47" s="627"/>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40">
        <v>366000</v>
      </c>
      <c r="AC48" s="640"/>
      <c r="AD48" s="640"/>
      <c r="AE48" s="640"/>
      <c r="AF48" s="640"/>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7"/>
      <c r="AC49" s="667"/>
      <c r="AD49" s="667"/>
      <c r="AE49" s="667"/>
      <c r="AF49" s="667"/>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1">
        <v>4.5</v>
      </c>
      <c r="AC74" s="591"/>
      <c r="AD74" s="591"/>
      <c r="AE74" s="591"/>
      <c r="AF74" s="591"/>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0">
        <v>1500000</v>
      </c>
      <c r="AC75" s="590"/>
      <c r="AD75" s="590"/>
      <c r="AE75" s="590"/>
      <c r="AF75" s="590"/>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4">
        <v>1527000</v>
      </c>
      <c r="AC76" s="594"/>
      <c r="AD76" s="594"/>
      <c r="AE76" s="594"/>
      <c r="AF76" s="594"/>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4">
        <f>AB76-AB75</f>
        <v>27000</v>
      </c>
      <c r="AC77" s="644"/>
      <c r="AD77" s="644"/>
      <c r="AE77" s="644"/>
      <c r="AF77" s="644"/>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5">
        <f>1000*AB74</f>
        <v>4500</v>
      </c>
      <c r="AC78" s="645"/>
      <c r="AD78" s="645"/>
      <c r="AE78" s="645"/>
      <c r="AF78" s="645"/>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5">
        <v>27000</v>
      </c>
      <c r="AC79" s="625"/>
      <c r="AD79" s="625"/>
      <c r="AE79" s="625"/>
      <c r="AF79" s="625"/>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2">
        <f>IFERROR(AB79/AB75*100,0)</f>
        <v>1.7999999999999998</v>
      </c>
      <c r="AC80" s="592"/>
      <c r="AD80" s="592"/>
      <c r="AE80" s="592"/>
      <c r="AF80" s="592"/>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1"/>
      <c r="AC83" s="591"/>
      <c r="AD83" s="591"/>
      <c r="AE83" s="591"/>
      <c r="AF83" s="591"/>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0"/>
      <c r="AC84" s="590"/>
      <c r="AD84" s="590"/>
      <c r="AE84" s="590"/>
      <c r="AF84" s="590"/>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4"/>
      <c r="AC85" s="594"/>
      <c r="AD85" s="594"/>
      <c r="AE85" s="594"/>
      <c r="AF85" s="594"/>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5">
        <f>AB85-AB84</f>
        <v>0</v>
      </c>
      <c r="AC86" s="595"/>
      <c r="AD86" s="595"/>
      <c r="AE86" s="595"/>
      <c r="AF86" s="595"/>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0"/>
      <c r="AC87" s="590"/>
      <c r="AD87" s="590"/>
      <c r="AE87" s="590"/>
      <c r="AF87" s="590"/>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5"/>
      <c r="AC88" s="625"/>
      <c r="AD88" s="625"/>
      <c r="AE88" s="625"/>
      <c r="AF88" s="625"/>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2">
        <f>IFERROR(AB88/AB84*100,0)</f>
        <v>0</v>
      </c>
      <c r="AC89" s="592"/>
      <c r="AD89" s="592"/>
      <c r="AE89" s="592"/>
      <c r="AF89" s="592"/>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9"/>
      <c r="AB91" s="589"/>
      <c r="AC91" s="589"/>
      <c r="AD91" s="589"/>
      <c r="AE91" s="589"/>
      <c r="AF91" s="589"/>
      <c r="AG91" s="589"/>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1"/>
      <c r="AC92" s="591"/>
      <c r="AD92" s="591"/>
      <c r="AE92" s="591"/>
      <c r="AF92" s="591"/>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0"/>
      <c r="AC93" s="590"/>
      <c r="AD93" s="590"/>
      <c r="AE93" s="590"/>
      <c r="AF93" s="590"/>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4"/>
      <c r="AC94" s="594"/>
      <c r="AD94" s="594"/>
      <c r="AE94" s="594"/>
      <c r="AF94" s="594"/>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5">
        <f>AB94-AB93</f>
        <v>0</v>
      </c>
      <c r="AC95" s="595"/>
      <c r="AD95" s="595"/>
      <c r="AE95" s="595"/>
      <c r="AF95" s="595"/>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0"/>
      <c r="AC96" s="590"/>
      <c r="AD96" s="590"/>
      <c r="AE96" s="590"/>
      <c r="AF96" s="590"/>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5"/>
      <c r="AC97" s="625"/>
      <c r="AD97" s="625"/>
      <c r="AE97" s="625"/>
      <c r="AF97" s="625"/>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2">
        <f>IFERROR(AB97/AB93*100,0)</f>
        <v>0</v>
      </c>
      <c r="AC98" s="592"/>
      <c r="AD98" s="592"/>
      <c r="AE98" s="592"/>
      <c r="AF98" s="592"/>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9"/>
      <c r="AB100" s="589"/>
      <c r="AC100" s="589"/>
      <c r="AD100" s="589"/>
      <c r="AE100" s="589"/>
      <c r="AF100" s="589"/>
      <c r="AG100" s="589"/>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1"/>
      <c r="AC101" s="591"/>
      <c r="AD101" s="591"/>
      <c r="AE101" s="591"/>
      <c r="AF101" s="591"/>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0"/>
      <c r="AC102" s="590"/>
      <c r="AD102" s="590"/>
      <c r="AE102" s="590"/>
      <c r="AF102" s="590"/>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4"/>
      <c r="AC103" s="594"/>
      <c r="AD103" s="594"/>
      <c r="AE103" s="594"/>
      <c r="AF103" s="594"/>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5">
        <f>AB103-AB102</f>
        <v>0</v>
      </c>
      <c r="AC104" s="595"/>
      <c r="AD104" s="595"/>
      <c r="AE104" s="595"/>
      <c r="AF104" s="595"/>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0"/>
      <c r="AC105" s="590"/>
      <c r="AD105" s="590"/>
      <c r="AE105" s="590"/>
      <c r="AF105" s="590"/>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5"/>
      <c r="AC106" s="625"/>
      <c r="AD106" s="625"/>
      <c r="AE106" s="625"/>
      <c r="AF106" s="625"/>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2">
        <f>IFERROR(AB106/AB102*100,0)</f>
        <v>0</v>
      </c>
      <c r="AC107" s="592"/>
      <c r="AD107" s="592"/>
      <c r="AE107" s="592"/>
      <c r="AF107" s="592"/>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9"/>
      <c r="AB109" s="589"/>
      <c r="AC109" s="589"/>
      <c r="AD109" s="589"/>
      <c r="AE109" s="589"/>
      <c r="AF109" s="589"/>
      <c r="AG109" s="589"/>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1"/>
      <c r="AC110" s="591"/>
      <c r="AD110" s="591"/>
      <c r="AE110" s="591"/>
      <c r="AF110" s="591"/>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0"/>
      <c r="AC111" s="590"/>
      <c r="AD111" s="590"/>
      <c r="AE111" s="590"/>
      <c r="AF111" s="590"/>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4"/>
      <c r="AC112" s="594"/>
      <c r="AD112" s="594"/>
      <c r="AE112" s="594"/>
      <c r="AF112" s="594"/>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5">
        <f>AB112-AB111</f>
        <v>0</v>
      </c>
      <c r="AC113" s="595"/>
      <c r="AD113" s="595"/>
      <c r="AE113" s="595"/>
      <c r="AF113" s="595"/>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0"/>
      <c r="AC114" s="590"/>
      <c r="AD114" s="590"/>
      <c r="AE114" s="590"/>
      <c r="AF114" s="590"/>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5"/>
      <c r="AC115" s="625"/>
      <c r="AD115" s="625"/>
      <c r="AE115" s="625"/>
      <c r="AF115" s="625"/>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2">
        <f>IFERROR(AB115/AB111*100,0)</f>
        <v>0</v>
      </c>
      <c r="AC116" s="592"/>
      <c r="AD116" s="592"/>
      <c r="AE116" s="592"/>
      <c r="AF116" s="592"/>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5"/>
      <c r="AB119" s="585"/>
      <c r="AC119" s="585"/>
      <c r="AD119" s="585"/>
      <c r="AE119" s="585"/>
      <c r="AF119" s="585"/>
      <c r="AG119" s="585"/>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6">
        <v>1</v>
      </c>
      <c r="AC120" s="586"/>
      <c r="AD120" s="586"/>
      <c r="AE120" s="586"/>
      <c r="AF120" s="586"/>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7"/>
      <c r="AC121" s="587"/>
      <c r="AD121" s="587"/>
      <c r="AE121" s="587"/>
      <c r="AF121" s="587"/>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7">
        <v>420000</v>
      </c>
      <c r="AC122" s="587"/>
      <c r="AD122" s="587"/>
      <c r="AE122" s="587"/>
      <c r="AF122" s="587"/>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1"/>
      <c r="AC123" s="601"/>
      <c r="AD123" s="601"/>
      <c r="AE123" s="601"/>
      <c r="AF123" s="601"/>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7">
        <v>426000</v>
      </c>
      <c r="AC124" s="587"/>
      <c r="AD124" s="587"/>
      <c r="AE124" s="587"/>
      <c r="AF124" s="587"/>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00">
        <f>AB123-AB121</f>
        <v>0</v>
      </c>
      <c r="AC125" s="600"/>
      <c r="AD125" s="600"/>
      <c r="AE125" s="600"/>
      <c r="AF125" s="600"/>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6">
        <f>AB124-AB122</f>
        <v>6000</v>
      </c>
      <c r="AC126" s="636"/>
      <c r="AD126" s="636"/>
      <c r="AE126" s="636"/>
      <c r="AF126" s="636"/>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5">
        <f>1000*AB120</f>
        <v>1000</v>
      </c>
      <c r="AC127" s="635"/>
      <c r="AD127" s="635"/>
      <c r="AE127" s="635"/>
      <c r="AF127" s="635"/>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4">
        <v>6000</v>
      </c>
      <c r="AC128" s="634"/>
      <c r="AD128" s="634"/>
      <c r="AE128" s="634"/>
      <c r="AF128" s="634"/>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2">
        <f>IFERROR(AB128/AB122*100,0)</f>
        <v>1.4285714285714286</v>
      </c>
      <c r="AC129" s="592"/>
      <c r="AD129" s="592"/>
      <c r="AE129" s="592"/>
      <c r="AF129" s="592"/>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5"/>
      <c r="AB131" s="585"/>
      <c r="AC131" s="585"/>
      <c r="AD131" s="585"/>
      <c r="AE131" s="585"/>
      <c r="AF131" s="585"/>
      <c r="AG131" s="585"/>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6">
        <v>2</v>
      </c>
      <c r="AC132" s="586"/>
      <c r="AD132" s="586"/>
      <c r="AE132" s="586"/>
      <c r="AF132" s="586"/>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7"/>
      <c r="AC133" s="587"/>
      <c r="AD133" s="587"/>
      <c r="AE133" s="587"/>
      <c r="AF133" s="587"/>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7">
        <v>350000</v>
      </c>
      <c r="AC134" s="587"/>
      <c r="AD134" s="587"/>
      <c r="AE134" s="587"/>
      <c r="AF134" s="587"/>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1"/>
      <c r="AC135" s="601"/>
      <c r="AD135" s="601"/>
      <c r="AE135" s="601"/>
      <c r="AF135" s="601"/>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7">
        <v>362000</v>
      </c>
      <c r="AC136" s="587"/>
      <c r="AD136" s="587"/>
      <c r="AE136" s="587"/>
      <c r="AF136" s="587"/>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00">
        <f>AB135-AB133</f>
        <v>0</v>
      </c>
      <c r="AC137" s="600"/>
      <c r="AD137" s="600"/>
      <c r="AE137" s="600"/>
      <c r="AF137" s="600"/>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6">
        <f>AB136-AB134</f>
        <v>12000</v>
      </c>
      <c r="AC138" s="636"/>
      <c r="AD138" s="636"/>
      <c r="AE138" s="636"/>
      <c r="AF138" s="636"/>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5">
        <f>1000*AB132</f>
        <v>2000</v>
      </c>
      <c r="AC139" s="635"/>
      <c r="AD139" s="635"/>
      <c r="AE139" s="635"/>
      <c r="AF139" s="635"/>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4">
        <v>12000</v>
      </c>
      <c r="AC140" s="634"/>
      <c r="AD140" s="634"/>
      <c r="AE140" s="634"/>
      <c r="AF140" s="634"/>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2">
        <f>IFERROR(AB140/AB134*100,0)</f>
        <v>3.4285714285714288</v>
      </c>
      <c r="AC141" s="592"/>
      <c r="AD141" s="592"/>
      <c r="AE141" s="592"/>
      <c r="AF141" s="592"/>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1</v>
      </c>
    </row>
    <row r="146" spans="1:36" ht="15.6" customHeight="1">
      <c r="A146" s="16"/>
      <c r="B146" s="48"/>
      <c r="C146" s="48" t="s">
        <v>334</v>
      </c>
      <c r="D146" s="48"/>
      <c r="E146" s="48"/>
      <c r="F146" s="48"/>
      <c r="G146" s="48"/>
      <c r="H146" s="48"/>
      <c r="I146" s="48"/>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8" t="s">
        <v>1782</v>
      </c>
      <c r="D149" s="638"/>
      <c r="E149" s="638"/>
      <c r="F149" s="638"/>
      <c r="G149" s="638"/>
      <c r="H149" s="638"/>
      <c r="I149" s="638"/>
      <c r="J149" s="638"/>
      <c r="K149" s="638"/>
      <c r="L149" s="638"/>
      <c r="M149" s="638"/>
      <c r="N149" s="638"/>
      <c r="O149" s="638"/>
      <c r="P149" s="638"/>
      <c r="Q149" s="638"/>
      <c r="R149" s="638"/>
      <c r="S149" s="638"/>
      <c r="T149" s="638"/>
      <c r="U149" s="638"/>
      <c r="V149" s="638"/>
      <c r="W149" s="638"/>
      <c r="X149" s="638"/>
      <c r="Y149" s="638"/>
      <c r="Z149" s="638"/>
      <c r="AA149" s="638"/>
      <c r="AB149" s="638"/>
      <c r="AC149" s="638"/>
      <c r="AD149" s="638"/>
      <c r="AE149" s="638"/>
      <c r="AF149" s="638"/>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7" t="s">
        <v>335</v>
      </c>
      <c r="B152" s="597"/>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8">
        <v>6</v>
      </c>
      <c r="F154" s="598"/>
      <c r="G154" s="48" t="s">
        <v>16</v>
      </c>
      <c r="H154" s="598">
        <v>9</v>
      </c>
      <c r="I154" s="598"/>
      <c r="J154" s="48" t="s">
        <v>264</v>
      </c>
      <c r="K154" s="598">
        <v>30</v>
      </c>
      <c r="L154" s="598"/>
      <c r="M154" s="48" t="s">
        <v>18</v>
      </c>
      <c r="N154" s="48"/>
      <c r="O154" s="48"/>
      <c r="P154" s="48" t="s">
        <v>336</v>
      </c>
      <c r="Q154" s="48"/>
      <c r="R154" s="48"/>
      <c r="S154" s="48"/>
      <c r="T154" s="599" t="s">
        <v>1776</v>
      </c>
      <c r="U154" s="599"/>
      <c r="V154" s="599"/>
      <c r="W154" s="599"/>
      <c r="X154" s="599"/>
      <c r="Y154" s="599"/>
      <c r="Z154" s="599"/>
      <c r="AA154" s="599"/>
      <c r="AB154" s="599"/>
      <c r="AC154" s="599"/>
      <c r="AD154" s="599"/>
      <c r="AE154" s="599"/>
      <c r="AF154" s="599"/>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0WZ2OM8q3txHoc1vaNhTGZW77ieEIF8ZPtfSUMlCdOhFUy2zXNDLXSHZ6D44jgxR4UgxF55AhIsSP/MlGBp/iQ==" saltValue="veiPm5TkPlWt5z1wsI5DI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6" t="s">
        <v>390</v>
      </c>
      <c r="B2" s="616"/>
      <c r="C2" s="616"/>
      <c r="D2" s="616"/>
      <c r="E2" s="616"/>
      <c r="F2" s="616"/>
      <c r="G2" s="616"/>
      <c r="H2" s="616"/>
      <c r="I2" s="616"/>
      <c r="J2" s="616"/>
      <c r="K2" s="616"/>
      <c r="L2" s="616"/>
      <c r="M2" s="616"/>
      <c r="N2" s="616"/>
      <c r="O2" s="616"/>
      <c r="P2" s="616"/>
      <c r="Q2" s="616"/>
      <c r="R2" s="616"/>
      <c r="S2" s="616"/>
      <c r="T2" s="616"/>
      <c r="U2" s="617"/>
      <c r="V2" s="617"/>
      <c r="W2" s="660" t="s">
        <v>391</v>
      </c>
      <c r="X2" s="660"/>
      <c r="Y2" s="660"/>
      <c r="Z2" s="660"/>
      <c r="AA2" s="660"/>
      <c r="AB2" s="660"/>
      <c r="AC2" s="660"/>
      <c r="AD2" s="660"/>
      <c r="AE2" s="660"/>
      <c r="AF2" s="660"/>
      <c r="AG2" s="660"/>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1" t="s">
        <v>257</v>
      </c>
      <c r="T4" s="611"/>
      <c r="U4" s="611"/>
      <c r="V4" s="611"/>
      <c r="W4" s="611"/>
      <c r="X4" s="646" t="str">
        <f>IF('様式95_外来・在宅ベースアップ評価料（Ⅰ）'!H5=0,"",'様式95_外来・在宅ベースアップ評価料（Ⅰ）'!H5)</f>
        <v>1234567</v>
      </c>
      <c r="Y4" s="668"/>
      <c r="Z4" s="668"/>
      <c r="AA4" s="668"/>
      <c r="AB4" s="668"/>
      <c r="AC4" s="668"/>
      <c r="AD4" s="668"/>
      <c r="AE4" s="668"/>
      <c r="AF4" s="668"/>
      <c r="AG4" s="669"/>
    </row>
    <row r="5" spans="1:43" ht="16.149999999999999" customHeight="1">
      <c r="A5" s="3"/>
      <c r="B5" s="3"/>
      <c r="C5" s="3"/>
      <c r="D5" s="3"/>
      <c r="E5" s="3"/>
      <c r="F5" s="3"/>
      <c r="G5" s="3"/>
      <c r="H5" s="3"/>
      <c r="I5" s="3"/>
      <c r="J5" s="3"/>
      <c r="K5" s="3"/>
      <c r="L5" s="3"/>
      <c r="M5" s="3"/>
      <c r="N5" s="3"/>
      <c r="O5" s="3"/>
      <c r="P5" s="3"/>
      <c r="Q5" s="3"/>
      <c r="R5" s="3"/>
      <c r="S5" s="618" t="s">
        <v>258</v>
      </c>
      <c r="T5" s="618"/>
      <c r="U5" s="618"/>
      <c r="V5" s="618"/>
      <c r="W5" s="619"/>
      <c r="X5" s="646" t="str">
        <f>IF('様式95_外来・在宅ベースアップ評価料（Ⅰ）'!H6=0,"",'様式95_外来・在宅ベースアップ評価料（Ⅰ）'!H6)</f>
        <v>●●病院</v>
      </c>
      <c r="Y5" s="668"/>
      <c r="Z5" s="668"/>
      <c r="AA5" s="668"/>
      <c r="AB5" s="668"/>
      <c r="AC5" s="668"/>
      <c r="AD5" s="668"/>
      <c r="AE5" s="668"/>
      <c r="AF5" s="668"/>
      <c r="AG5" s="669"/>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149999999999999"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09" t="s">
        <v>15</v>
      </c>
      <c r="C13" s="652"/>
      <c r="D13" s="652"/>
      <c r="E13" s="670">
        <f>IF('別添_計画書（病院及び有床診療所）'!E16=0,"",'別添_計画書（病院及び有床診療所）'!E16)</f>
        <v>6</v>
      </c>
      <c r="F13" s="670"/>
      <c r="G13" s="20" t="s">
        <v>16</v>
      </c>
      <c r="H13" s="670">
        <f>IF('別添_計画書（病院及び有床診療所）'!H16=0,"",'別添_計画書（病院及び有床診療所）'!H16)</f>
        <v>10</v>
      </c>
      <c r="I13" s="670"/>
      <c r="J13" s="20" t="s">
        <v>264</v>
      </c>
      <c r="K13" s="20"/>
      <c r="L13" s="20" t="s">
        <v>265</v>
      </c>
      <c r="M13" s="20" t="s">
        <v>15</v>
      </c>
      <c r="N13" s="20"/>
      <c r="O13" s="670">
        <f>IF('別添_計画書（病院及び有床診療所）'!O16=0,"",'別添_計画書（病院及び有床診療所）'!O16)</f>
        <v>7</v>
      </c>
      <c r="P13" s="670"/>
      <c r="Q13" s="20" t="s">
        <v>16</v>
      </c>
      <c r="R13" s="670">
        <f>IF('別添_計画書（病院及び有床診療所）'!R16=0,"",'別添_計画書（病院及び有床診療所）'!R16)</f>
        <v>3</v>
      </c>
      <c r="S13" s="670"/>
      <c r="T13" s="21" t="s">
        <v>264</v>
      </c>
      <c r="V13" s="671">
        <f>'別添_計画書（病院及び有床診療所）'!V16</f>
        <v>6</v>
      </c>
      <c r="W13" s="671"/>
      <c r="X13" s="671"/>
      <c r="Y13" s="672"/>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9" t="s">
        <v>15</v>
      </c>
      <c r="C16" s="652"/>
      <c r="D16" s="652"/>
      <c r="E16" s="670">
        <f>IF('別添_計画書（病院及び有床診療所）'!E21=0,"",'別添_計画書（病院及び有床診療所）'!E21)</f>
        <v>6</v>
      </c>
      <c r="F16" s="670"/>
      <c r="G16" s="20" t="s">
        <v>16</v>
      </c>
      <c r="H16" s="670">
        <f>IF('別添_計画書（病院及び有床診療所）'!H21=0,"",'別添_計画書（病院及び有床診療所）'!H21)</f>
        <v>10</v>
      </c>
      <c r="I16" s="670"/>
      <c r="J16" s="20" t="s">
        <v>264</v>
      </c>
      <c r="K16" s="20"/>
      <c r="L16" s="20" t="s">
        <v>265</v>
      </c>
      <c r="M16" s="20" t="s">
        <v>15</v>
      </c>
      <c r="N16" s="20"/>
      <c r="O16" s="610"/>
      <c r="P16" s="610"/>
      <c r="Q16" s="20" t="s">
        <v>16</v>
      </c>
      <c r="R16" s="610"/>
      <c r="S16" s="610"/>
      <c r="T16" s="21" t="s">
        <v>264</v>
      </c>
      <c r="V16" s="671" t="str">
        <f>IFERROR(IF(E16=O16,R16-H16+1,IF(O16-E16=1,12-H16+1+R16,IF(O16-E16=2,12-H16+1+R16+12,"エラー"))),1)</f>
        <v>エラー</v>
      </c>
      <c r="W16" s="671"/>
      <c r="X16" s="671"/>
      <c r="Y16" s="672"/>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149999999999999"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149999999999999" hidden="1" customHeight="1" outlineLevel="1">
      <c r="A21" s="430"/>
      <c r="B21" s="431" t="s">
        <v>395</v>
      </c>
      <c r="C21" s="432" t="s">
        <v>15</v>
      </c>
      <c r="D21" s="687">
        <f>IF('別添_計画書（病院及び有床診療所）'!E21=0,"",'別添_計画書（病院及び有床診療所）'!E21)</f>
        <v>6</v>
      </c>
      <c r="E21" s="687"/>
      <c r="F21" s="433" t="s">
        <v>16</v>
      </c>
      <c r="G21" s="687">
        <f>IF('別添_計画書（病院及び有床診療所）'!H21=0,"",'別添_計画書（病院及び有床診療所）'!H21)</f>
        <v>10</v>
      </c>
      <c r="H21" s="687"/>
      <c r="I21" s="433" t="s">
        <v>264</v>
      </c>
      <c r="J21" s="433" t="s">
        <v>396</v>
      </c>
      <c r="K21" s="433" t="s">
        <v>397</v>
      </c>
      <c r="L21" s="433"/>
      <c r="M21" s="688"/>
      <c r="N21" s="688"/>
      <c r="O21" s="434" t="s">
        <v>16</v>
      </c>
      <c r="P21" s="688"/>
      <c r="Q21" s="688"/>
      <c r="R21" s="435" t="s">
        <v>264</v>
      </c>
      <c r="S21" s="432"/>
      <c r="T21" s="689" t="str">
        <f>'別添_計画書（病院及び有床診療所）'!P31</f>
        <v>入院ベースアップ評価料57</v>
      </c>
      <c r="U21" s="689"/>
      <c r="V21" s="689"/>
      <c r="W21" s="689"/>
      <c r="X21" s="689"/>
      <c r="Y21" s="689"/>
      <c r="Z21" s="689"/>
      <c r="AA21" s="433"/>
      <c r="AB21" s="421"/>
      <c r="AC21" s="691">
        <f>IFERROR(IF(T21="","-",VLOOKUP(T21,'リスト（入院）'!C:D,2,FALSE)),"-")</f>
        <v>57</v>
      </c>
      <c r="AD21" s="691"/>
      <c r="AE21" s="691"/>
      <c r="AF21" s="691"/>
      <c r="AG21" s="436" t="s">
        <v>276</v>
      </c>
    </row>
    <row r="22" spans="1:33" ht="16.149999999999999"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149999999999999"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149999999999999"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149999999999999"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149999999999999" hidden="1" customHeight="1" outlineLevel="1">
      <c r="A27" s="430"/>
      <c r="B27" s="431" t="s">
        <v>395</v>
      </c>
      <c r="C27" s="432" t="s">
        <v>15</v>
      </c>
      <c r="D27" s="687">
        <f>IF(D21="","",D21)</f>
        <v>6</v>
      </c>
      <c r="E27" s="687"/>
      <c r="F27" s="433" t="s">
        <v>16</v>
      </c>
      <c r="G27" s="687">
        <f>IF(G21="","",G21)</f>
        <v>10</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149999999999999"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149999999999999"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149999999999999"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149999999999999"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149999999999999" hidden="1" customHeight="1" outlineLevel="1">
      <c r="A34" s="430"/>
      <c r="B34" s="431" t="s">
        <v>395</v>
      </c>
      <c r="C34" s="432" t="s">
        <v>15</v>
      </c>
      <c r="D34" s="687">
        <f>IF(D21="","",D21)</f>
        <v>6</v>
      </c>
      <c r="E34" s="687"/>
      <c r="F34" s="433" t="s">
        <v>16</v>
      </c>
      <c r="G34" s="687">
        <f>IF(G21="","",G21)</f>
        <v>10</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f>IFERROR(AC21*AC27*10,"")</f>
        <v>0</v>
      </c>
      <c r="AD34" s="695"/>
      <c r="AE34" s="695"/>
      <c r="AF34" s="695"/>
      <c r="AG34" s="436" t="s">
        <v>270</v>
      </c>
    </row>
    <row r="35" spans="1:43" ht="16.149999999999999"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149999999999999"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149999999999999"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f>IF(AC34="","",SUM(AC34:AF37)-AC38+AC39)</f>
        <v>1</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0"/>
      <c r="AC43" s="590"/>
      <c r="AD43" s="590"/>
      <c r="AE43" s="590"/>
      <c r="AF43" s="590"/>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40"/>
      <c r="AC44" s="640"/>
      <c r="AD44" s="640"/>
      <c r="AE44" s="640"/>
      <c r="AF44" s="640"/>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40"/>
      <c r="AC51" s="640"/>
      <c r="AD51" s="640"/>
      <c r="AE51" s="640"/>
      <c r="AF51" s="640"/>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8">
        <f>AB46-AB50+AB51</f>
        <v>0</v>
      </c>
      <c r="AC54" s="588"/>
      <c r="AD54" s="588"/>
      <c r="AE54" s="588"/>
      <c r="AF54" s="588"/>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40"/>
      <c r="AC55" s="640"/>
      <c r="AD55" s="640"/>
      <c r="AE55" s="640"/>
      <c r="AF55" s="640"/>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5"/>
      <c r="AC60" s="645"/>
      <c r="AD60" s="645"/>
      <c r="AE60" s="645"/>
      <c r="AF60" s="645"/>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8" t="str">
        <f>IF(AC57=0,"",AC57)</f>
        <v/>
      </c>
      <c r="AC61" s="628"/>
      <c r="AD61" s="628"/>
      <c r="AE61" s="628"/>
      <c r="AF61" s="628"/>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'別添_計画書（病院及び有床診療所）'!AB69</f>
        <v>50</v>
      </c>
      <c r="AC87" s="708"/>
      <c r="AD87" s="708"/>
      <c r="AE87" s="708"/>
      <c r="AF87" s="708"/>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4">
        <f>'別添_計画書（病院及び有床診療所）'!AB70</f>
        <v>14990000</v>
      </c>
      <c r="AC88" s="644"/>
      <c r="AD88" s="644"/>
      <c r="AE88" s="644"/>
      <c r="AF88" s="644"/>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5">
        <f>AB89-AB88</f>
        <v>-14990000</v>
      </c>
      <c r="AC90" s="595"/>
      <c r="AD90" s="595"/>
      <c r="AE90" s="595"/>
      <c r="AF90" s="595"/>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4">
        <f>SUM(AB100,AB109,AB118,AB127,AB136)</f>
        <v>0</v>
      </c>
      <c r="AC91" s="614"/>
      <c r="AD91" s="614"/>
      <c r="AE91" s="614"/>
      <c r="AF91" s="614"/>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8">
        <f>AB90-AB91</f>
        <v>-14990000</v>
      </c>
      <c r="AC92" s="588"/>
      <c r="AD92" s="588"/>
      <c r="AE92" s="588"/>
      <c r="AF92" s="588"/>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-100</v>
      </c>
      <c r="AC93" s="707"/>
      <c r="AD93" s="707"/>
      <c r="AE93" s="707"/>
      <c r="AF93" s="70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'別添_計画書（病院及び有床診療所）'!AB78</f>
        <v>28</v>
      </c>
      <c r="AC96" s="708"/>
      <c r="AD96" s="708"/>
      <c r="AE96" s="708"/>
      <c r="AF96" s="708"/>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4">
        <f>'別添_計画書（病院及び有床診療所）'!AB79</f>
        <v>10080000</v>
      </c>
      <c r="AC97" s="644"/>
      <c r="AD97" s="644"/>
      <c r="AE97" s="644"/>
      <c r="AF97" s="644"/>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4"/>
      <c r="AC98" s="594"/>
      <c r="AD98" s="594"/>
      <c r="AE98" s="594"/>
      <c r="AF98" s="594"/>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5">
        <f>AB98-AB97</f>
        <v>-10080000</v>
      </c>
      <c r="AC99" s="595"/>
      <c r="AD99" s="595"/>
      <c r="AE99" s="595"/>
      <c r="AF99" s="595"/>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0"/>
      <c r="AC100" s="590"/>
      <c r="AD100" s="590"/>
      <c r="AE100" s="590"/>
      <c r="AF100" s="590"/>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8">
        <f>AB99-AB100</f>
        <v>-10080000</v>
      </c>
      <c r="AC101" s="588"/>
      <c r="AD101" s="588"/>
      <c r="AE101" s="588"/>
      <c r="AF101" s="588"/>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2">
        <f>IFERROR(AB101/AB97*100,0)</f>
        <v>-100</v>
      </c>
      <c r="AC102" s="592"/>
      <c r="AD102" s="592"/>
      <c r="AE102" s="592"/>
      <c r="AF102" s="592"/>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9"/>
      <c r="AB104" s="589"/>
      <c r="AC104" s="589"/>
      <c r="AD104" s="589"/>
      <c r="AE104" s="589"/>
      <c r="AF104" s="589"/>
      <c r="AG104" s="589"/>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'別添_計画書（病院及び有床診療所）'!AB87</f>
        <v>5</v>
      </c>
      <c r="AC105" s="708"/>
      <c r="AD105" s="708"/>
      <c r="AE105" s="708"/>
      <c r="AF105" s="708"/>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4">
        <f>'別添_計画書（病院及び有床診療所）'!AB88</f>
        <v>1650000</v>
      </c>
      <c r="AC106" s="644"/>
      <c r="AD106" s="644"/>
      <c r="AE106" s="644"/>
      <c r="AF106" s="644"/>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4"/>
      <c r="AC107" s="594"/>
      <c r="AD107" s="594"/>
      <c r="AE107" s="594"/>
      <c r="AF107" s="594"/>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5">
        <f>AB107-AB106</f>
        <v>-1650000</v>
      </c>
      <c r="AC108" s="595"/>
      <c r="AD108" s="595"/>
      <c r="AE108" s="595"/>
      <c r="AF108" s="595"/>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0"/>
      <c r="AC109" s="590"/>
      <c r="AD109" s="590"/>
      <c r="AE109" s="590"/>
      <c r="AF109" s="590"/>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8">
        <f>AB108-AB109</f>
        <v>-1650000</v>
      </c>
      <c r="AC110" s="588"/>
      <c r="AD110" s="588"/>
      <c r="AE110" s="588"/>
      <c r="AF110" s="588"/>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2">
        <f>IFERROR(AB110/AB106*100,0)</f>
        <v>-100</v>
      </c>
      <c r="AC111" s="592"/>
      <c r="AD111" s="592"/>
      <c r="AE111" s="592"/>
      <c r="AF111" s="592"/>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9"/>
      <c r="AB113" s="589"/>
      <c r="AC113" s="589"/>
      <c r="AD113" s="589"/>
      <c r="AE113" s="589"/>
      <c r="AF113" s="589"/>
      <c r="AG113" s="589"/>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'別添_計画書（病院及び有床診療所）'!AB96</f>
        <v>6.5</v>
      </c>
      <c r="AC114" s="708"/>
      <c r="AD114" s="708"/>
      <c r="AE114" s="708"/>
      <c r="AF114" s="708"/>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4">
        <f>'別添_計画書（病院及び有床診療所）'!AB97</f>
        <v>1560000</v>
      </c>
      <c r="AC115" s="644"/>
      <c r="AD115" s="644"/>
      <c r="AE115" s="644"/>
      <c r="AF115" s="644"/>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4"/>
      <c r="AC116" s="594"/>
      <c r="AD116" s="594"/>
      <c r="AE116" s="594"/>
      <c r="AF116" s="594"/>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5">
        <f>AB116-AB115</f>
        <v>-1560000</v>
      </c>
      <c r="AC117" s="595"/>
      <c r="AD117" s="595"/>
      <c r="AE117" s="595"/>
      <c r="AF117" s="595"/>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0"/>
      <c r="AC118" s="590"/>
      <c r="AD118" s="590"/>
      <c r="AE118" s="590"/>
      <c r="AF118" s="590"/>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8">
        <f>AB117-AB118</f>
        <v>-1560000</v>
      </c>
      <c r="AC119" s="588"/>
      <c r="AD119" s="588"/>
      <c r="AE119" s="588"/>
      <c r="AF119" s="588"/>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2">
        <f>IFERROR(AB119/AB115*100,0)</f>
        <v>-100</v>
      </c>
      <c r="AC120" s="592"/>
      <c r="AD120" s="592"/>
      <c r="AE120" s="592"/>
      <c r="AF120" s="592"/>
      <c r="AG120" s="154" t="s">
        <v>292</v>
      </c>
    </row>
    <row r="121" spans="1:35" ht="16.350000000000001" customHeight="1">
      <c r="AG121" s="28"/>
    </row>
    <row r="122" spans="1:35" ht="16.350000000000001" customHeight="1" thickBot="1">
      <c r="A122" s="593" t="s">
        <v>317</v>
      </c>
      <c r="B122" s="593"/>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'別添_計画書（病院及び有床診療所）'!AB105</f>
        <v>0</v>
      </c>
      <c r="AC123" s="708"/>
      <c r="AD123" s="708"/>
      <c r="AE123" s="708"/>
      <c r="AF123" s="708"/>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4">
        <f>'別添_計画書（病院及び有床診療所）'!AB106</f>
        <v>0</v>
      </c>
      <c r="AC124" s="644"/>
      <c r="AD124" s="644"/>
      <c r="AE124" s="644"/>
      <c r="AF124" s="644"/>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4"/>
      <c r="AC125" s="594"/>
      <c r="AD125" s="594"/>
      <c r="AE125" s="594"/>
      <c r="AF125" s="594"/>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5">
        <f>AB125-AB124</f>
        <v>0</v>
      </c>
      <c r="AC126" s="595"/>
      <c r="AD126" s="595"/>
      <c r="AE126" s="595"/>
      <c r="AF126" s="595"/>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0"/>
      <c r="AC127" s="590"/>
      <c r="AD127" s="590"/>
      <c r="AE127" s="590"/>
      <c r="AF127" s="590"/>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8">
        <f>AB126-AB127</f>
        <v>0</v>
      </c>
      <c r="AC128" s="588"/>
      <c r="AD128" s="588"/>
      <c r="AE128" s="588"/>
      <c r="AF128" s="588"/>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2">
        <f>IFERROR(AB128/AB124*100,0)</f>
        <v>0</v>
      </c>
      <c r="AC129" s="592"/>
      <c r="AD129" s="592"/>
      <c r="AE129" s="592"/>
      <c r="AF129" s="592"/>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9"/>
      <c r="AB131" s="589"/>
      <c r="AC131" s="589"/>
      <c r="AD131" s="589"/>
      <c r="AE131" s="589"/>
      <c r="AF131" s="589"/>
      <c r="AG131" s="589"/>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'別添_計画書（病院及び有床診療所）'!AB114</f>
        <v>10.5</v>
      </c>
      <c r="AC132" s="708"/>
      <c r="AD132" s="708"/>
      <c r="AE132" s="708"/>
      <c r="AF132" s="708"/>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4">
        <f>'別添_計画書（病院及び有床診療所）'!AB115</f>
        <v>1700000</v>
      </c>
      <c r="AC133" s="644"/>
      <c r="AD133" s="644"/>
      <c r="AE133" s="644"/>
      <c r="AF133" s="644"/>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4"/>
      <c r="AC134" s="594"/>
      <c r="AD134" s="594"/>
      <c r="AE134" s="594"/>
      <c r="AF134" s="594"/>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5">
        <f>AB134-AB133</f>
        <v>-1700000</v>
      </c>
      <c r="AC135" s="595"/>
      <c r="AD135" s="595"/>
      <c r="AE135" s="595"/>
      <c r="AF135" s="595"/>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0"/>
      <c r="AC136" s="590"/>
      <c r="AD136" s="590"/>
      <c r="AE136" s="590"/>
      <c r="AF136" s="590"/>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8">
        <f>AB135-AB136</f>
        <v>-1700000</v>
      </c>
      <c r="AC137" s="588"/>
      <c r="AD137" s="588"/>
      <c r="AE137" s="588"/>
      <c r="AF137" s="588"/>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2">
        <f>IFERROR(AB137/AB133*100,0)</f>
        <v>-100</v>
      </c>
      <c r="AC138" s="592"/>
      <c r="AD138" s="592"/>
      <c r="AE138" s="592"/>
      <c r="AF138" s="592"/>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5"/>
      <c r="AB141" s="585"/>
      <c r="AC141" s="585"/>
      <c r="AD141" s="585"/>
      <c r="AE141" s="585"/>
      <c r="AF141" s="585"/>
      <c r="AG141" s="585"/>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'別添_計画書（病院及び有床診療所）'!AB124</f>
        <v>10</v>
      </c>
      <c r="AC142" s="708"/>
      <c r="AD142" s="708"/>
      <c r="AE142" s="708"/>
      <c r="AF142" s="708"/>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'別添_計画書（病院及び有床診療所）'!AB125</f>
        <v>0</v>
      </c>
      <c r="AC143" s="695"/>
      <c r="AD143" s="695"/>
      <c r="AE143" s="695"/>
      <c r="AF143" s="695"/>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4">
        <f>'別添_計画書（病院及び有床診療所）'!AB126</f>
        <v>4200000</v>
      </c>
      <c r="AC144" s="644"/>
      <c r="AD144" s="644"/>
      <c r="AE144" s="644"/>
      <c r="AF144" s="644"/>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7"/>
      <c r="AC146" s="587"/>
      <c r="AD146" s="587"/>
      <c r="AE146" s="587"/>
      <c r="AF146" s="587"/>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00">
        <f>AB146-AB144</f>
        <v>-4200000</v>
      </c>
      <c r="AC148" s="600"/>
      <c r="AD148" s="600"/>
      <c r="AE148" s="600"/>
      <c r="AF148" s="600"/>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7"/>
      <c r="AC149" s="587"/>
      <c r="AD149" s="587"/>
      <c r="AE149" s="587"/>
      <c r="AF149" s="587"/>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-4200000</v>
      </c>
      <c r="AC150" s="710"/>
      <c r="AD150" s="710"/>
      <c r="AE150" s="710"/>
      <c r="AF150" s="710"/>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-100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5"/>
      <c r="AB153" s="585"/>
      <c r="AC153" s="585"/>
      <c r="AD153" s="585"/>
      <c r="AE153" s="585"/>
      <c r="AF153" s="585"/>
      <c r="AG153" s="585"/>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'別添_計画書（病院及び有床診療所）'!AB136</f>
        <v>20</v>
      </c>
      <c r="AC154" s="708"/>
      <c r="AD154" s="708"/>
      <c r="AE154" s="708"/>
      <c r="AF154" s="708"/>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8">
        <f>'別添_計画書（病院及び有床診療所）'!AB137</f>
        <v>0</v>
      </c>
      <c r="AC155" s="628"/>
      <c r="AD155" s="628"/>
      <c r="AE155" s="628"/>
      <c r="AF155" s="628"/>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4">
        <f>'別添_計画書（病院及び有床診療所）'!AB138</f>
        <v>3500000</v>
      </c>
      <c r="AC156" s="644"/>
      <c r="AD156" s="644"/>
      <c r="AE156" s="644"/>
      <c r="AF156" s="644"/>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7"/>
      <c r="AC158" s="587"/>
      <c r="AD158" s="587"/>
      <c r="AE158" s="587"/>
      <c r="AF158" s="587"/>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00">
        <f>AB158-AB156</f>
        <v>-3500000</v>
      </c>
      <c r="AC160" s="600"/>
      <c r="AD160" s="600"/>
      <c r="AE160" s="600"/>
      <c r="AF160" s="600"/>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7"/>
      <c r="AC161" s="587"/>
      <c r="AD161" s="587"/>
      <c r="AE161" s="587"/>
      <c r="AF161" s="587"/>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-3500000</v>
      </c>
      <c r="AC162" s="710"/>
      <c r="AD162" s="710"/>
      <c r="AE162" s="710"/>
      <c r="AF162" s="710"/>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-100</v>
      </c>
      <c r="AC163" s="711"/>
      <c r="AD163" s="711"/>
      <c r="AE163" s="711"/>
      <c r="AF163" s="71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8"/>
      <c r="G168" s="598"/>
      <c r="H168" s="3" t="s">
        <v>16</v>
      </c>
      <c r="I168" s="598"/>
      <c r="J168" s="598"/>
      <c r="K168" s="3" t="s">
        <v>264</v>
      </c>
      <c r="L168" s="598"/>
      <c r="M168" s="598"/>
      <c r="N168" s="3" t="s">
        <v>18</v>
      </c>
      <c r="O168" s="3"/>
      <c r="P168" s="3"/>
      <c r="Q168" s="3" t="s">
        <v>444</v>
      </c>
      <c r="R168" s="3"/>
      <c r="S168" s="3"/>
      <c r="T168" s="3"/>
      <c r="U168" s="599"/>
      <c r="V168" s="599"/>
      <c r="W168" s="599"/>
      <c r="X168" s="599"/>
      <c r="Y168" s="599"/>
      <c r="Z168" s="599"/>
      <c r="AA168" s="599"/>
      <c r="AB168" s="599"/>
      <c r="AC168" s="599"/>
      <c r="AD168" s="599"/>
      <c r="AE168" s="599"/>
      <c r="AF168" s="599"/>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140"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6" t="s">
        <v>445</v>
      </c>
      <c r="B2" s="616"/>
      <c r="C2" s="616"/>
      <c r="D2" s="616"/>
      <c r="E2" s="616"/>
      <c r="F2" s="616"/>
      <c r="G2" s="616"/>
      <c r="H2" s="616"/>
      <c r="I2" s="616"/>
      <c r="J2" s="616"/>
      <c r="K2" s="616"/>
      <c r="L2" s="616"/>
      <c r="M2" s="616"/>
      <c r="N2" s="616"/>
      <c r="O2" s="616"/>
      <c r="P2" s="616"/>
      <c r="Q2" s="616"/>
      <c r="R2" s="616"/>
      <c r="S2" s="616"/>
      <c r="T2" s="617"/>
      <c r="U2" s="617"/>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1" t="s">
        <v>257</v>
      </c>
      <c r="T4" s="611"/>
      <c r="U4" s="611"/>
      <c r="V4" s="611"/>
      <c r="W4" s="611"/>
      <c r="X4" s="719" t="str">
        <f>IF('様式95_外来・在宅ベースアップ評価料（Ⅰ）'!H5=0,"",'様式95_外来・在宅ベースアップ評価料（Ⅰ）'!H5)</f>
        <v>1234567</v>
      </c>
      <c r="Y4" s="720"/>
      <c r="Z4" s="720"/>
      <c r="AA4" s="720"/>
      <c r="AB4" s="720"/>
      <c r="AC4" s="720"/>
      <c r="AD4" s="720"/>
      <c r="AE4" s="720"/>
      <c r="AF4" s="720"/>
      <c r="AG4" s="72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●●病院</v>
      </c>
      <c r="Y5" s="720"/>
      <c r="Z5" s="720"/>
      <c r="AA5" s="720"/>
      <c r="AB5" s="720"/>
      <c r="AC5" s="720"/>
      <c r="AD5" s="720"/>
      <c r="AE5" s="720"/>
      <c r="AF5" s="720"/>
      <c r="AG5" s="721"/>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9" t="s">
        <v>15</v>
      </c>
      <c r="C12" s="652"/>
      <c r="D12" s="652"/>
      <c r="E12" s="716">
        <f>IF('（別添）_計画書（無床診療所及びⅡを算定する有床診療所）'!E16=0,"",'（別添）_計画書（無床診療所及びⅡを算定する有床診療所）'!E16)</f>
        <v>6</v>
      </c>
      <c r="F12" s="716"/>
      <c r="G12" s="20" t="s">
        <v>16</v>
      </c>
      <c r="H12" s="716">
        <f>IF('（別添）_計画書（無床診療所及びⅡを算定する有床診療所）'!H16=0,"",'（別添）_計画書（無床診療所及びⅡを算定する有床診療所）'!H16)</f>
        <v>10</v>
      </c>
      <c r="I12" s="716"/>
      <c r="J12" s="20" t="s">
        <v>264</v>
      </c>
      <c r="K12" s="20"/>
      <c r="L12" s="20" t="s">
        <v>265</v>
      </c>
      <c r="M12" s="20" t="s">
        <v>15</v>
      </c>
      <c r="N12" s="20"/>
      <c r="O12" s="716">
        <f>IF('（別添）_計画書（無床診療所及びⅡを算定する有床診療所）'!O16=0,"",'（別添）_計画書（無床診療所及びⅡを算定する有床診療所）'!O16)</f>
        <v>7</v>
      </c>
      <c r="P12" s="716"/>
      <c r="Q12" s="20" t="s">
        <v>16</v>
      </c>
      <c r="R12" s="716">
        <f>IF('（別添）_計画書（無床診療所及びⅡを算定する有床診療所）'!R16=0,"",'（別添）_計画書（無床診療所及びⅡを算定する有床診療所）'!R16)</f>
        <v>3</v>
      </c>
      <c r="S12" s="716"/>
      <c r="T12" s="21" t="s">
        <v>264</v>
      </c>
      <c r="V12" s="717">
        <f>'（別添）_計画書（無床診療所及びⅡを算定する有床診療所）'!V16</f>
        <v>6</v>
      </c>
      <c r="W12" s="717"/>
      <c r="X12" s="717"/>
      <c r="Y12" s="718"/>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9" t="s">
        <v>15</v>
      </c>
      <c r="C15" s="652"/>
      <c r="D15" s="652"/>
      <c r="E15" s="716">
        <f>IF('（別添）_計画書（無床診療所及びⅡを算定する有床診療所）'!E21=0,"",'（別添）_計画書（無床診療所及びⅡを算定する有床診療所）'!E21)</f>
        <v>6</v>
      </c>
      <c r="F15" s="716"/>
      <c r="G15" s="20" t="s">
        <v>16</v>
      </c>
      <c r="H15" s="716">
        <f>IF('（別添）_計画書（無床診療所及びⅡを算定する有床診療所）'!H21=0,"",'（別添）_計画書（無床診療所及びⅡを算定する有床診療所）'!H21)</f>
        <v>10</v>
      </c>
      <c r="I15" s="716"/>
      <c r="J15" s="20" t="s">
        <v>264</v>
      </c>
      <c r="K15" s="20"/>
      <c r="L15" s="20" t="s">
        <v>265</v>
      </c>
      <c r="M15" s="20" t="s">
        <v>15</v>
      </c>
      <c r="N15" s="20"/>
      <c r="O15" s="610"/>
      <c r="P15" s="610"/>
      <c r="Q15" s="20" t="s">
        <v>16</v>
      </c>
      <c r="R15" s="610"/>
      <c r="S15" s="610"/>
      <c r="T15" s="21" t="s">
        <v>264</v>
      </c>
      <c r="V15" s="717" t="str">
        <f>IFERROR(IF(E15=O15,R15-H15+1,IF(O15-E15=1,12-H15+1+R15,IF(O15-E15=2,12-H15+1+R15+12,"エラー"))),1)</f>
        <v>エラー</v>
      </c>
      <c r="W15" s="717"/>
      <c r="X15" s="717"/>
      <c r="Y15" s="718"/>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149999999999999" hidden="1" customHeight="1" outlineLevel="1">
      <c r="A22" s="492"/>
      <c r="B22" s="493" t="s">
        <v>395</v>
      </c>
      <c r="C22" s="494" t="s">
        <v>15</v>
      </c>
      <c r="D22" s="687">
        <f>E15</f>
        <v>6</v>
      </c>
      <c r="E22" s="687"/>
      <c r="F22" s="495" t="s">
        <v>16</v>
      </c>
      <c r="G22" s="687">
        <f>H15</f>
        <v>10</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149999999999999" hidden="1" customHeight="1" outlineLevel="1">
      <c r="A28" s="492"/>
      <c r="B28" s="493" t="s">
        <v>395</v>
      </c>
      <c r="C28" s="494" t="s">
        <v>15</v>
      </c>
      <c r="D28" s="687">
        <f>IF(D22="","",D22)</f>
        <v>6</v>
      </c>
      <c r="E28" s="687"/>
      <c r="F28" s="495" t="s">
        <v>16</v>
      </c>
      <c r="G28" s="687">
        <f>IF(G22="","",G22)</f>
        <v>10</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6</v>
      </c>
      <c r="E35" s="687"/>
      <c r="F35" s="495" t="s">
        <v>16</v>
      </c>
      <c r="G35" s="687">
        <f>IF(G22="","",G22)</f>
        <v>10</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40"/>
      <c r="AC44" s="640"/>
      <c r="AD44" s="640"/>
      <c r="AE44" s="640"/>
      <c r="AF44" s="640"/>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40"/>
      <c r="AC51" s="640"/>
      <c r="AD51" s="640"/>
      <c r="AE51" s="640"/>
      <c r="AF51" s="640"/>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5"/>
      <c r="AC60" s="645"/>
      <c r="AD60" s="645"/>
      <c r="AE60" s="645"/>
      <c r="AF60" s="645"/>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8">
        <f>Z41</f>
        <v>0</v>
      </c>
      <c r="AC61" s="628"/>
      <c r="AD61" s="628"/>
      <c r="AE61" s="628"/>
      <c r="AF61" s="628"/>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149999999999999"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6">
        <f>'（別添）_計画書（無床診療所及びⅡを算定する有床診療所）'!AB74</f>
        <v>3.5</v>
      </c>
      <c r="AC85" s="626"/>
      <c r="AD85" s="626"/>
      <c r="AE85" s="626"/>
      <c r="AF85" s="626"/>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4">
        <f>'（別添）_計画書（無床診療所及びⅡを算定する有床診療所）'!AB75</f>
        <v>1330000</v>
      </c>
      <c r="AC86" s="614"/>
      <c r="AD86" s="614"/>
      <c r="AE86" s="614"/>
      <c r="AF86" s="614"/>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4"/>
      <c r="AC87" s="594"/>
      <c r="AD87" s="594"/>
      <c r="AE87" s="594"/>
      <c r="AF87" s="594"/>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4">
        <f>AB87-AB86</f>
        <v>-1330000</v>
      </c>
      <c r="AC88" s="614"/>
      <c r="AD88" s="614"/>
      <c r="AE88" s="614"/>
      <c r="AF88" s="614"/>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8">
        <f>'（別添）_計画書（無床診療所及びⅡを算定する有床診療所）'!AB84</f>
        <v>0</v>
      </c>
      <c r="AC95" s="628"/>
      <c r="AD95" s="628"/>
      <c r="AE95" s="628"/>
      <c r="AF95" s="628"/>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5"/>
      <c r="AC98" s="645"/>
      <c r="AD98" s="645"/>
      <c r="AE98" s="645"/>
      <c r="AF98" s="645"/>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8">
        <f>'（別添）_計画書（無床診療所及びⅡを算定する有床診療所）'!AB93</f>
        <v>0</v>
      </c>
      <c r="AC104" s="628"/>
      <c r="AD104" s="628"/>
      <c r="AE104" s="628"/>
      <c r="AF104" s="628"/>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5"/>
      <c r="AC107" s="645"/>
      <c r="AD107" s="645"/>
      <c r="AE107" s="645"/>
      <c r="AF107" s="645"/>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8">
        <f>'（別添）_計画書（無床診療所及びⅡを算定する有床診療所）'!AB102</f>
        <v>0</v>
      </c>
      <c r="AC113" s="628"/>
      <c r="AD113" s="628"/>
      <c r="AE113" s="628"/>
      <c r="AF113" s="628"/>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5"/>
      <c r="AC116" s="645"/>
      <c r="AD116" s="645"/>
      <c r="AE116" s="645"/>
      <c r="AF116" s="645"/>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8">
        <f>'（別添）_計画書（無床診療所及びⅡを算定する有床診療所）'!AB111</f>
        <v>0</v>
      </c>
      <c r="AC122" s="628"/>
      <c r="AD122" s="628"/>
      <c r="AE122" s="628"/>
      <c r="AF122" s="62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5"/>
      <c r="AC125" s="645"/>
      <c r="AD125" s="645"/>
      <c r="AE125" s="645"/>
      <c r="AF125" s="645"/>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5"/>
      <c r="AB130" s="585"/>
      <c r="AC130" s="585"/>
      <c r="AD130" s="585"/>
      <c r="AE130" s="585"/>
      <c r="AF130" s="585"/>
      <c r="AG130" s="585"/>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6">
        <f>'（別添）_計画書（無床診療所及びⅡを算定する有床診療所）'!AB120</f>
        <v>0</v>
      </c>
      <c r="AC131" s="626"/>
      <c r="AD131" s="626"/>
      <c r="AE131" s="626"/>
      <c r="AF131" s="626"/>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4">
        <f>'（別添）_計画書（無床診療所及びⅡを算定する有床診療所）'!AB122</f>
        <v>0</v>
      </c>
      <c r="AC133" s="614"/>
      <c r="AD133" s="614"/>
      <c r="AE133" s="614"/>
      <c r="AF133" s="614"/>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7"/>
      <c r="AC135" s="587"/>
      <c r="AD135" s="587"/>
      <c r="AE135" s="587"/>
      <c r="AF135" s="587"/>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c r="AC139" s="634"/>
      <c r="AD139" s="634"/>
      <c r="AE139" s="634"/>
      <c r="AF139" s="634"/>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5"/>
      <c r="AB142" s="585"/>
      <c r="AC142" s="585"/>
      <c r="AD142" s="585"/>
      <c r="AE142" s="585"/>
      <c r="AF142" s="585"/>
      <c r="AG142" s="585"/>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6">
        <f>'（別添）_計画書（無床診療所及びⅡを算定する有床診療所）'!AB132</f>
        <v>1.2</v>
      </c>
      <c r="AC143" s="626"/>
      <c r="AD143" s="626"/>
      <c r="AE143" s="626"/>
      <c r="AF143" s="626"/>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4">
        <f>'（別添）_計画書（無床診療所及びⅡを算定する有床診療所）'!AB134</f>
        <v>240000</v>
      </c>
      <c r="AC145" s="614"/>
      <c r="AD145" s="614"/>
      <c r="AE145" s="614"/>
      <c r="AF145" s="614"/>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7"/>
      <c r="AC147" s="587"/>
      <c r="AD147" s="587"/>
      <c r="AE147" s="587"/>
      <c r="AF147" s="587"/>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-240000</v>
      </c>
      <c r="AC149" s="776"/>
      <c r="AD149" s="776"/>
      <c r="AE149" s="776"/>
      <c r="AF149" s="77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7">
        <f>1000*AB143</f>
        <v>1200</v>
      </c>
      <c r="AC150" s="587"/>
      <c r="AD150" s="587"/>
      <c r="AE150" s="587"/>
      <c r="AF150" s="587"/>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4"/>
      <c r="AC151" s="634"/>
      <c r="AD151" s="634"/>
      <c r="AE151" s="634"/>
      <c r="AF151" s="634"/>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8"/>
      <c r="G157" s="598"/>
      <c r="H157" s="3" t="s">
        <v>16</v>
      </c>
      <c r="I157" s="598"/>
      <c r="J157" s="598"/>
      <c r="K157" s="3" t="s">
        <v>264</v>
      </c>
      <c r="L157" s="598"/>
      <c r="M157" s="598"/>
      <c r="N157" s="3" t="s">
        <v>18</v>
      </c>
      <c r="O157" s="3"/>
      <c r="P157" s="3"/>
      <c r="Q157" s="3" t="s">
        <v>444</v>
      </c>
      <c r="R157" s="3"/>
      <c r="S157" s="3"/>
      <c r="T157" s="3"/>
      <c r="U157" s="599"/>
      <c r="V157" s="599"/>
      <c r="W157" s="599"/>
      <c r="X157" s="599"/>
      <c r="Y157" s="599"/>
      <c r="Z157" s="599"/>
      <c r="AA157" s="599"/>
      <c r="AB157" s="599"/>
      <c r="AC157" s="599"/>
      <c r="AD157" s="599"/>
      <c r="AE157" s="599"/>
      <c r="AF157" s="599"/>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G183" sqref="G18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6" t="s">
        <v>463</v>
      </c>
      <c r="B2" s="616"/>
      <c r="C2" s="616"/>
      <c r="D2" s="616"/>
      <c r="E2" s="616"/>
      <c r="F2" s="616"/>
      <c r="G2" s="616"/>
      <c r="H2" s="616"/>
      <c r="I2" s="616"/>
      <c r="J2" s="616"/>
      <c r="K2" s="616"/>
      <c r="L2" s="616"/>
      <c r="M2" s="616"/>
      <c r="N2" s="616"/>
      <c r="O2" s="616"/>
      <c r="P2" s="616"/>
      <c r="Q2" s="616"/>
      <c r="R2" s="616"/>
      <c r="S2" s="616"/>
      <c r="T2" s="617"/>
      <c r="U2" s="617"/>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1" t="s">
        <v>257</v>
      </c>
      <c r="T4" s="611"/>
      <c r="U4" s="611"/>
      <c r="V4" s="611"/>
      <c r="W4" s="611"/>
      <c r="X4" s="646" t="str">
        <f>IF('様式95_外来・在宅ベースアップ評価料（Ⅰ）'!H5=0,"",'様式95_外来・在宅ベースアップ評価料（Ⅰ）'!H5)</f>
        <v>1234567</v>
      </c>
      <c r="Y4" s="668"/>
      <c r="Z4" s="668"/>
      <c r="AA4" s="668"/>
      <c r="AB4" s="668"/>
      <c r="AC4" s="668"/>
      <c r="AD4" s="668"/>
      <c r="AE4" s="668"/>
      <c r="AF4" s="668"/>
      <c r="AG4" s="66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6" t="str">
        <f>IF('様式95_外来・在宅ベースアップ評価料（Ⅰ）'!H6=0,"",'様式95_外来・在宅ベースアップ評価料（Ⅰ）'!H6)</f>
        <v>●●病院</v>
      </c>
      <c r="Y5" s="668"/>
      <c r="Z5" s="668"/>
      <c r="AA5" s="668"/>
      <c r="AB5" s="668"/>
      <c r="AC5" s="668"/>
      <c r="AD5" s="668"/>
      <c r="AE5" s="668"/>
      <c r="AF5" s="668"/>
      <c r="AG5" s="66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9" t="s">
        <v>15</v>
      </c>
      <c r="C12" s="652"/>
      <c r="D12" s="652"/>
      <c r="E12" s="670">
        <f>IF('（別添）_計画書（歯科診療所及びⅡを算定する有床診療所）'!E16=0,"",'（別添）_計画書（歯科診療所及びⅡを算定する有床診療所）'!E16)</f>
        <v>6</v>
      </c>
      <c r="F12" s="670"/>
      <c r="G12" s="20" t="s">
        <v>16</v>
      </c>
      <c r="H12" s="670">
        <f>IF('（別添）_計画書（歯科診療所及びⅡを算定する有床診療所）'!H16=0,"",'（別添）_計画書（歯科診療所及びⅡを算定する有床診療所）'!H16)</f>
        <v>10</v>
      </c>
      <c r="I12" s="670"/>
      <c r="J12" s="20" t="s">
        <v>264</v>
      </c>
      <c r="K12" s="20"/>
      <c r="L12" s="20" t="s">
        <v>265</v>
      </c>
      <c r="M12" s="20" t="s">
        <v>15</v>
      </c>
      <c r="N12" s="20"/>
      <c r="O12" s="670">
        <f>IF('（別添）_計画書（歯科診療所及びⅡを算定する有床診療所）'!O16=0,"",'（別添）_計画書（歯科診療所及びⅡを算定する有床診療所）'!O16)</f>
        <v>7</v>
      </c>
      <c r="P12" s="670"/>
      <c r="Q12" s="20" t="s">
        <v>16</v>
      </c>
      <c r="R12" s="670">
        <f>IF('（別添）_計画書（歯科診療所及びⅡを算定する有床診療所）'!R16=0,"",'（別添）_計画書（歯科診療所及びⅡを算定する有床診療所）'!R16)</f>
        <v>3</v>
      </c>
      <c r="S12" s="670"/>
      <c r="T12" s="21" t="s">
        <v>264</v>
      </c>
      <c r="V12" s="604">
        <f>'（別添）_計画書（歯科診療所及びⅡを算定する有床診療所）'!V16</f>
        <v>6</v>
      </c>
      <c r="W12" s="604"/>
      <c r="X12" s="604"/>
      <c r="Y12" s="605"/>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9" t="s">
        <v>15</v>
      </c>
      <c r="C15" s="652"/>
      <c r="D15" s="652"/>
      <c r="E15" s="670">
        <f>IF('（別添）_計画書（歯科診療所及びⅡを算定する有床診療所）'!E21=0,"",'（別添）_計画書（歯科診療所及びⅡを算定する有床診療所）'!E21)</f>
        <v>6</v>
      </c>
      <c r="F15" s="670"/>
      <c r="G15" s="20" t="s">
        <v>16</v>
      </c>
      <c r="H15" s="670">
        <f>IF('（別添）_計画書（歯科診療所及びⅡを算定する有床診療所）'!H21=0,"",'（別添）_計画書（歯科診療所及びⅡを算定する有床診療所）'!H21)</f>
        <v>10</v>
      </c>
      <c r="I15" s="670"/>
      <c r="J15" s="20" t="s">
        <v>264</v>
      </c>
      <c r="K15" s="20"/>
      <c r="L15" s="20" t="s">
        <v>265</v>
      </c>
      <c r="M15" s="20" t="s">
        <v>15</v>
      </c>
      <c r="N15" s="20"/>
      <c r="O15" s="610">
        <v>7</v>
      </c>
      <c r="P15" s="610"/>
      <c r="Q15" s="20" t="s">
        <v>16</v>
      </c>
      <c r="R15" s="610">
        <v>3</v>
      </c>
      <c r="S15" s="610"/>
      <c r="T15" s="21" t="s">
        <v>264</v>
      </c>
      <c r="V15" s="604">
        <f>IFERROR(IF(E15=O15,R15-H15+1,IF(O15-E15=1,12-H15+1+R15,IF(O15-E15=2,12-H15+1+R15+12,"エラー"))),1)</f>
        <v>6</v>
      </c>
      <c r="W15" s="604"/>
      <c r="X15" s="604"/>
      <c r="Y15" s="605"/>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149999999999999" hidden="1" customHeight="1" outlineLevel="1">
      <c r="A22" s="492"/>
      <c r="B22" s="493" t="s">
        <v>395</v>
      </c>
      <c r="C22" s="494" t="s">
        <v>15</v>
      </c>
      <c r="D22" s="687">
        <f>E15</f>
        <v>6</v>
      </c>
      <c r="E22" s="687"/>
      <c r="F22" s="495" t="s">
        <v>16</v>
      </c>
      <c r="G22" s="687">
        <f>H15</f>
        <v>10</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149999999999999" hidden="1" customHeight="1" outlineLevel="1">
      <c r="A28" s="492"/>
      <c r="B28" s="493" t="s">
        <v>395</v>
      </c>
      <c r="C28" s="494" t="s">
        <v>15</v>
      </c>
      <c r="D28" s="687">
        <f>IF(D22="","",D22)</f>
        <v>6</v>
      </c>
      <c r="E28" s="687"/>
      <c r="F28" s="495" t="s">
        <v>16</v>
      </c>
      <c r="G28" s="687">
        <f>IF(G22="","",G22)</f>
        <v>10</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6</v>
      </c>
      <c r="E35" s="687"/>
      <c r="F35" s="495" t="s">
        <v>16</v>
      </c>
      <c r="G35" s="687">
        <f>IF(G22="","",G22)</f>
        <v>10</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40"/>
      <c r="AC44" s="640"/>
      <c r="AD44" s="640"/>
      <c r="AE44" s="640"/>
      <c r="AF44" s="640"/>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40"/>
      <c r="AC51" s="640"/>
      <c r="AD51" s="640"/>
      <c r="AE51" s="640"/>
      <c r="AF51" s="640"/>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8">
        <f>AB46-AB50+AB51</f>
        <v>0</v>
      </c>
      <c r="AC54" s="588"/>
      <c r="AD54" s="588"/>
      <c r="AE54" s="588"/>
      <c r="AF54" s="588"/>
      <c r="AG54" s="17" t="s">
        <v>270</v>
      </c>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40"/>
      <c r="AC55" s="640"/>
      <c r="AD55" s="640"/>
      <c r="AE55" s="640"/>
      <c r="AF55" s="640"/>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5"/>
      <c r="AC60" s="645"/>
      <c r="AD60" s="645"/>
      <c r="AE60" s="645"/>
      <c r="AF60" s="645"/>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8">
        <f>Z41</f>
        <v>1</v>
      </c>
      <c r="AC61" s="628"/>
      <c r="AD61" s="628"/>
      <c r="AE61" s="628"/>
      <c r="AF61" s="628"/>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8">
        <f>AB59-SUM(AB64:AF65)</f>
        <v>0</v>
      </c>
      <c r="AC66" s="628"/>
      <c r="AD66" s="628"/>
      <c r="AE66" s="628"/>
      <c r="AF66" s="628"/>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4.5</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4">
        <f>'（別添）_計画書（歯科診療所及びⅡを算定する有床診療所）'!AB75</f>
        <v>1500000</v>
      </c>
      <c r="AC86" s="644"/>
      <c r="AD86" s="644"/>
      <c r="AE86" s="644"/>
      <c r="AF86" s="644"/>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4"/>
      <c r="AC87" s="594"/>
      <c r="AD87" s="594"/>
      <c r="AE87" s="594"/>
      <c r="AF87" s="594"/>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5">
        <f>AB87-AB86</f>
        <v>-1500000</v>
      </c>
      <c r="AC88" s="595"/>
      <c r="AD88" s="595"/>
      <c r="AE88" s="595"/>
      <c r="AF88" s="595"/>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8">
        <f>'（別添）_計画書（歯科診療所及びⅡを算定する有床診療所）'!AB84</f>
        <v>0</v>
      </c>
      <c r="AC95" s="628"/>
      <c r="AD95" s="628"/>
      <c r="AE95" s="628"/>
      <c r="AF95" s="628"/>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5"/>
      <c r="AC98" s="645"/>
      <c r="AD98" s="645"/>
      <c r="AE98" s="645"/>
      <c r="AF98" s="645"/>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8">
        <f>'（別添）_計画書（歯科診療所及びⅡを算定する有床診療所）'!AB93</f>
        <v>0</v>
      </c>
      <c r="AC104" s="628"/>
      <c r="AD104" s="628"/>
      <c r="AE104" s="628"/>
      <c r="AF104" s="628"/>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5"/>
      <c r="AC107" s="645"/>
      <c r="AD107" s="645"/>
      <c r="AE107" s="645"/>
      <c r="AF107" s="645"/>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8">
        <f>'（別添）_計画書（歯科診療所及びⅡを算定する有床診療所）'!AB102</f>
        <v>0</v>
      </c>
      <c r="AC113" s="628"/>
      <c r="AD113" s="628"/>
      <c r="AE113" s="628"/>
      <c r="AF113" s="628"/>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5"/>
      <c r="AC116" s="645"/>
      <c r="AD116" s="645"/>
      <c r="AE116" s="645"/>
      <c r="AF116" s="645"/>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8">
        <f>'（別添）_計画書（歯科診療所及びⅡを算定する有床診療所）'!AB111</f>
        <v>0</v>
      </c>
      <c r="AC122" s="628"/>
      <c r="AD122" s="628"/>
      <c r="AE122" s="628"/>
      <c r="AF122" s="62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5"/>
      <c r="AC125" s="645"/>
      <c r="AD125" s="645"/>
      <c r="AE125" s="645"/>
      <c r="AF125" s="645"/>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5"/>
      <c r="AB130" s="585"/>
      <c r="AC130" s="585"/>
      <c r="AD130" s="585"/>
      <c r="AE130" s="585"/>
      <c r="AF130" s="585"/>
      <c r="AG130" s="585"/>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1</v>
      </c>
      <c r="AC131" s="708"/>
      <c r="AD131" s="708"/>
      <c r="AE131" s="708"/>
      <c r="AF131" s="708"/>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4">
        <f>'（別添）_計画書（歯科診療所及びⅡを算定する有床診療所）'!AB121</f>
        <v>0</v>
      </c>
      <c r="AC132" s="644"/>
      <c r="AD132" s="644"/>
      <c r="AE132" s="644"/>
      <c r="AF132" s="644"/>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4">
        <f>'（別添）_計画書（歯科診療所及びⅡを算定する有床診療所）'!AB122</f>
        <v>420000</v>
      </c>
      <c r="AC133" s="644"/>
      <c r="AD133" s="644"/>
      <c r="AE133" s="644"/>
      <c r="AF133" s="644"/>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1"/>
      <c r="AC134" s="601"/>
      <c r="AD134" s="601"/>
      <c r="AE134" s="601"/>
      <c r="AF134" s="601"/>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7"/>
      <c r="AC135" s="587"/>
      <c r="AD135" s="587"/>
      <c r="AE135" s="587"/>
      <c r="AF135" s="587"/>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00">
        <f>AB134-AB132</f>
        <v>0</v>
      </c>
      <c r="AC136" s="600"/>
      <c r="AD136" s="600"/>
      <c r="AE136" s="600"/>
      <c r="AF136" s="600"/>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00">
        <f>AB135-AB133</f>
        <v>-420000</v>
      </c>
      <c r="AC137" s="600"/>
      <c r="AD137" s="600"/>
      <c r="AE137" s="600"/>
      <c r="AF137" s="600"/>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7"/>
      <c r="AC138" s="587"/>
      <c r="AD138" s="587"/>
      <c r="AE138" s="587"/>
      <c r="AF138" s="587"/>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c r="AC139" s="634"/>
      <c r="AD139" s="634"/>
      <c r="AE139" s="634"/>
      <c r="AF139" s="634"/>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5"/>
      <c r="AB142" s="585"/>
      <c r="AC142" s="585"/>
      <c r="AD142" s="585"/>
      <c r="AE142" s="585"/>
      <c r="AF142" s="585"/>
      <c r="AG142" s="585"/>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2</v>
      </c>
      <c r="AC143" s="708"/>
      <c r="AD143" s="708"/>
      <c r="AE143" s="708"/>
      <c r="AF143" s="708"/>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4">
        <f>'（別添）_計画書（歯科診療所及びⅡを算定する有床診療所）'!AB133</f>
        <v>0</v>
      </c>
      <c r="AC144" s="644"/>
      <c r="AD144" s="644"/>
      <c r="AE144" s="644"/>
      <c r="AF144" s="644"/>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4">
        <f>'（別添）_計画書（歯科診療所及びⅡを算定する有床診療所）'!AB134</f>
        <v>350000</v>
      </c>
      <c r="AC145" s="644"/>
      <c r="AD145" s="644"/>
      <c r="AE145" s="644"/>
      <c r="AF145" s="644"/>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1"/>
      <c r="AC146" s="601"/>
      <c r="AD146" s="601"/>
      <c r="AE146" s="601"/>
      <c r="AF146" s="601"/>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7"/>
      <c r="AC147" s="587"/>
      <c r="AD147" s="587"/>
      <c r="AE147" s="587"/>
      <c r="AF147" s="587"/>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00">
        <f>AB146-AB144</f>
        <v>0</v>
      </c>
      <c r="AC148" s="600"/>
      <c r="AD148" s="600"/>
      <c r="AE148" s="600"/>
      <c r="AF148" s="600"/>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00">
        <f>AB147-AB145</f>
        <v>-350000</v>
      </c>
      <c r="AC149" s="600"/>
      <c r="AD149" s="600"/>
      <c r="AE149" s="600"/>
      <c r="AF149" s="600"/>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7"/>
      <c r="AC150" s="587"/>
      <c r="AD150" s="587"/>
      <c r="AE150" s="587"/>
      <c r="AF150" s="587"/>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4"/>
      <c r="AC151" s="634"/>
      <c r="AD151" s="634"/>
      <c r="AE151" s="634"/>
      <c r="AF151" s="634"/>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8"/>
      <c r="G156" s="598"/>
      <c r="H156" s="3" t="s">
        <v>16</v>
      </c>
      <c r="I156" s="598"/>
      <c r="J156" s="598"/>
      <c r="K156" s="3" t="s">
        <v>264</v>
      </c>
      <c r="L156" s="598"/>
      <c r="M156" s="598"/>
      <c r="N156" s="3" t="s">
        <v>18</v>
      </c>
      <c r="O156" s="3"/>
      <c r="P156" s="3"/>
      <c r="Q156" s="3" t="s">
        <v>444</v>
      </c>
      <c r="R156" s="3"/>
      <c r="S156" s="3"/>
      <c r="T156" s="3"/>
      <c r="U156" s="599"/>
      <c r="V156" s="599"/>
      <c r="W156" s="599"/>
      <c r="X156" s="599"/>
      <c r="Y156" s="599"/>
      <c r="Z156" s="599"/>
      <c r="AA156" s="599"/>
      <c r="AB156" s="599"/>
      <c r="AC156" s="599"/>
      <c r="AD156" s="599"/>
      <c r="AE156" s="599"/>
      <c r="AF156" s="599"/>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election activeCell="G183" sqref="G183"/>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9" t="s">
        <v>29</v>
      </c>
      <c r="C5" s="549"/>
      <c r="D5" s="549"/>
      <c r="E5" s="549"/>
      <c r="F5" s="549"/>
      <c r="G5" s="549"/>
      <c r="H5" s="553" t="str">
        <f>IF(別添2!E6=0,"",別添2!E6)</f>
        <v>1234567</v>
      </c>
      <c r="I5" s="553"/>
      <c r="J5" s="553"/>
      <c r="K5" s="553"/>
      <c r="L5" s="553"/>
      <c r="M5" s="553"/>
      <c r="N5" s="553"/>
      <c r="O5" s="553"/>
      <c r="P5" s="553"/>
      <c r="Q5" s="553"/>
      <c r="R5" s="553"/>
      <c r="S5" s="553"/>
      <c r="T5" s="553"/>
    </row>
    <row r="6" spans="1:39">
      <c r="B6" s="549" t="s">
        <v>30</v>
      </c>
      <c r="C6" s="549"/>
      <c r="D6" s="549"/>
      <c r="E6" s="549"/>
      <c r="F6" s="549"/>
      <c r="G6" s="549"/>
      <c r="H6" s="551" t="str">
        <f>IF(別添2!H28=0,"",別添2!H28)</f>
        <v>●●病院</v>
      </c>
      <c r="I6" s="551"/>
      <c r="J6" s="551"/>
      <c r="K6" s="551"/>
      <c r="L6" s="551"/>
      <c r="M6" s="551"/>
      <c r="N6" s="551"/>
      <c r="O6" s="551"/>
      <c r="P6" s="551"/>
      <c r="Q6" s="551"/>
      <c r="R6" s="551"/>
      <c r="S6" s="551"/>
      <c r="T6" s="551"/>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9"/>
      <c r="I9" s="559"/>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80" t="e">
        <f>ROUNDDOWN(M53*10/M18,4)</f>
        <v>#DIV/0!</v>
      </c>
      <c r="N56" s="580"/>
      <c r="O56" s="580"/>
      <c r="P56" s="580"/>
      <c r="Q56" s="580"/>
      <c r="R56" s="580"/>
      <c r="S56" s="580"/>
      <c r="T56" s="43"/>
      <c r="U56" s="44"/>
      <c r="V56" s="284"/>
      <c r="W56" s="280"/>
      <c r="X56" s="283"/>
      <c r="Y56" s="280"/>
      <c r="Z56" s="786"/>
      <c r="AA56" s="786"/>
      <c r="AB56" s="786"/>
      <c r="AC56" s="786"/>
      <c r="AD56" s="786"/>
      <c r="AE56" s="786"/>
      <c r="AF56" s="786"/>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t="str">
        <f>別添2!E6</f>
        <v>1234567</v>
      </c>
      <c r="C2" s="188" t="str">
        <f>別添2!E10</f>
        <v>●●　●●</v>
      </c>
      <c r="D2" s="188" t="str">
        <f>別添2!E11</f>
        <v>03-9999-9999</v>
      </c>
      <c r="E2" s="188">
        <f>別添2!C25</f>
        <v>6</v>
      </c>
      <c r="F2" s="188">
        <f>別添2!E25</f>
        <v>9</v>
      </c>
      <c r="G2" s="188">
        <f>別添2!G25</f>
        <v>30</v>
      </c>
      <c r="H2" s="188" t="str">
        <f>別添2!H27</f>
        <v>東京都千代田区霞が関X-X-X</v>
      </c>
      <c r="I2" s="188" t="str">
        <f>別添2!H28</f>
        <v>●●病院</v>
      </c>
      <c r="J2" s="188" t="str">
        <f>別添2!I30</f>
        <v>●●　●●</v>
      </c>
      <c r="K2" s="188" t="str">
        <f>'様式95_外来・在宅ベースアップ評価料（Ⅰ）'!$H$5</f>
        <v>1234567</v>
      </c>
      <c r="L2" s="188" t="str">
        <f>'様式95_外来・在宅ベースアップ評価料（Ⅰ）'!$H$6</f>
        <v>●●病院</v>
      </c>
      <c r="M2" s="188" t="b">
        <f>'様式95_外来・在宅ベースアップ評価料（Ⅰ）'!$AK$10</f>
        <v>1</v>
      </c>
      <c r="N2" s="188" t="b">
        <f>'様式95_外来・在宅ベースアップ評価料（Ⅰ）'!$AK$11</f>
        <v>0</v>
      </c>
      <c r="O2" s="188" t="b">
        <f>'様式95_外来・在宅ベースアップ評価料（Ⅰ）'!$AK$15</f>
        <v>1</v>
      </c>
      <c r="P2" s="188" t="b">
        <f>'様式95_外来・在宅ベースアップ評価料（Ⅰ）'!$AK$16</f>
        <v>0</v>
      </c>
      <c r="Q2" s="188">
        <f>'様式95_外来・在宅ベースアップ評価料（Ⅰ）'!$F$19</f>
        <v>50</v>
      </c>
      <c r="R2" s="188" t="str">
        <f>+'様式96_外来・在宅ベースアップ評価料（Ⅱ）'!$H$5</f>
        <v>1234567</v>
      </c>
      <c r="S2" s="188" t="str">
        <f>+'様式96_外来・在宅ベースアップ評価料（Ⅱ）'!$H$6</f>
        <v>●●病院</v>
      </c>
      <c r="T2" s="188" t="b">
        <f>+'様式96_外来・在宅ベースアップ評価料（Ⅱ）'!$AK$10</f>
        <v>0</v>
      </c>
      <c r="U2" s="188" t="b">
        <f>+'様式96_外来・在宅ベースアップ評価料（Ⅱ）'!$AK$11</f>
        <v>0</v>
      </c>
      <c r="V2" s="188" t="b">
        <f>+'様式96_外来・在宅ベースアップ評価料（Ⅱ）'!$AK$16</f>
        <v>1</v>
      </c>
      <c r="W2" s="188" t="b">
        <f>+'様式96_外来・在宅ベースアップ評価料（Ⅱ）'!$AK$17</f>
        <v>0</v>
      </c>
      <c r="X2" s="188">
        <f>+'様式96_外来・在宅ベースアップ評価料（Ⅱ）'!$AK$15</f>
        <v>3</v>
      </c>
      <c r="Y2" s="188">
        <f>+'様式96_外来・在宅ベースアップ評価料（Ⅱ）'!$J$34</f>
        <v>3.5</v>
      </c>
      <c r="Z2" s="188" t="b">
        <f>+'様式96_外来・在宅ベースアップ評価料（Ⅱ）'!$AK$36</f>
        <v>0</v>
      </c>
      <c r="AA2" s="188" t="b">
        <f>+'様式96_外来・在宅ベースアップ評価料（Ⅱ）'!$AK$38</f>
        <v>1</v>
      </c>
      <c r="AB2" s="188">
        <f>+'様式96_外来・在宅ベースアップ評価料（Ⅱ）'!$AK$15</f>
        <v>3</v>
      </c>
      <c r="AC2" s="189">
        <f>+'様式96_外来・在宅ベースアップ評価料（Ⅱ）'!$M$52</f>
        <v>2000000</v>
      </c>
      <c r="AD2" s="190">
        <f>+'様式96_外来・在宅ベースアップ評価料（Ⅱ）'!$Z$52</f>
        <v>0</v>
      </c>
      <c r="AE2" s="188">
        <f>+'様式96_外来・在宅ベースアップ評価料（Ⅱ）'!$AK$15</f>
        <v>3</v>
      </c>
      <c r="AF2" s="188">
        <f>+'様式96_外来・在宅ベースアップ評価料（Ⅱ）'!$M$63</f>
        <v>0</v>
      </c>
      <c r="AG2" s="188">
        <f>+'様式96_外来・在宅ベースアップ評価料（Ⅱ）'!$Z$63</f>
        <v>0</v>
      </c>
      <c r="AH2" s="188">
        <f>+'様式96_外来・在宅ベースアップ評価料（Ⅱ）'!$M$65</f>
        <v>0</v>
      </c>
      <c r="AI2" s="188">
        <f>+'様式96_外来・在宅ベースアップ評価料（Ⅱ）'!$Z$65</f>
        <v>0</v>
      </c>
      <c r="AJ2" s="188">
        <f>+'様式96_外来・在宅ベースアップ評価料（Ⅱ）'!$M$67</f>
        <v>0</v>
      </c>
      <c r="AK2" s="188">
        <f>+'様式96_外来・在宅ベースアップ評価料（Ⅱ）'!$Z$67</f>
        <v>0</v>
      </c>
      <c r="AL2" s="188">
        <f>+'様式96_外来・在宅ベースアップ評価料（Ⅱ）'!$M$69</f>
        <v>0</v>
      </c>
      <c r="AM2" s="188">
        <f>+'様式96_外来・在宅ベースアップ評価料（Ⅱ）'!$Z$69</f>
        <v>0</v>
      </c>
      <c r="AN2" s="188">
        <f>+'様式96_外来・在宅ベースアップ評価料（Ⅱ）'!$M$71</f>
        <v>100</v>
      </c>
      <c r="AO2" s="188">
        <f>+'様式96_外来・在宅ベースアップ評価料（Ⅱ）'!$Z$71</f>
        <v>0</v>
      </c>
      <c r="AP2" s="188">
        <f>+'様式96_外来・在宅ベースアップ評価料（Ⅱ）'!$M$73</f>
        <v>600</v>
      </c>
      <c r="AQ2" s="188">
        <f>+'様式96_外来・在宅ベースアップ評価料（Ⅱ）'!$Z$73</f>
        <v>0</v>
      </c>
      <c r="AR2" s="188">
        <f>+'様式96_外来・在宅ベースアップ評価料（Ⅱ）'!$M$75</f>
        <v>0</v>
      </c>
      <c r="AS2" s="188">
        <f>+'様式96_外来・在宅ベースアップ評価料（Ⅱ）'!$Z$75</f>
        <v>0</v>
      </c>
      <c r="AT2" s="188">
        <f>+'様式96_外来・在宅ベースアップ評価料（Ⅱ）'!$M$77</f>
        <v>0</v>
      </c>
      <c r="AU2" s="188">
        <f>+'様式96_外来・在宅ベースアップ評価料（Ⅱ）'!$Z$77</f>
        <v>0</v>
      </c>
      <c r="AV2" s="188">
        <f>+'様式96_外来・在宅ベースアップ評価料（Ⅱ）'!$M$84</f>
        <v>700</v>
      </c>
      <c r="AW2" s="188">
        <f>+'様式96_外来・在宅ベースアップ評価料（Ⅱ）'!$Z$84</f>
        <v>0</v>
      </c>
      <c r="AX2" s="188">
        <f>+'様式96_外来・在宅ベースアップ評価料（Ⅱ）'!$M$86</f>
        <v>2200</v>
      </c>
      <c r="AY2" s="190">
        <f>+'様式96_外来・在宅ベースアップ評価料（Ⅱ）'!$Z$86</f>
        <v>0</v>
      </c>
      <c r="AZ2" s="191">
        <f>+'様式96_外来・在宅ベースアップ評価料（Ⅱ）'!$M$89</f>
        <v>1.0999999999999999E-2</v>
      </c>
      <c r="BA2" s="192" t="str">
        <f>+'様式96_外来・在宅ベースアップ評価料（Ⅱ）'!$Z$89</f>
        <v/>
      </c>
      <c r="BB2" s="188">
        <f>+'様式96_外来・在宅ベースアップ評価料（Ⅱ）'!$M$92</f>
        <v>0.14285714285714285</v>
      </c>
      <c r="BC2" s="188" t="str">
        <f>+'様式96_外来・在宅ベースアップ評価料（Ⅱ）'!$Z$92</f>
        <v/>
      </c>
      <c r="BD2" s="188" t="str">
        <f>IF('様式96_外来・在宅ベースアップ評価料（Ⅱ）'!AK103&lt;=1.1,IF('様式96_外来・在宅ベースアップ評価料（Ⅱ）'!AK103&gt;=0.9,"TRUE","FALSE"),"FALSE")</f>
        <v>FALSE</v>
      </c>
      <c r="BE2" s="188" t="str">
        <f>IF('様式96_外来・在宅ベースアップ評価料（Ⅱ）'!AK104&lt;=1.1,IF('様式96_外来・在宅ベースアップ評価料（Ⅱ）'!AK104&gt;=0.9,"TRUE","FALSE"),"FALSE")</f>
        <v>FALSE</v>
      </c>
      <c r="BF2" s="188" t="str">
        <f>IF('様式96_外来・在宅ベースアップ評価料（Ⅱ）'!AK105&lt;=1.1,IF('様式96_外来・在宅ベースアップ評価料（Ⅱ）'!AK105&gt;=0.9,"TRUE","FALSE"),"FALSE")</f>
        <v>FALSE</v>
      </c>
      <c r="BG2" s="188" t="str">
        <f>IF('様式96_外来・在宅ベースアップ評価料（Ⅱ）'!AK106&lt;=1.1,IF('様式96_外来・在宅ベースアップ評価料（Ⅱ）'!AK106&gt;=0.9,"TRUE","FALSE"),"FALSE")</f>
        <v>FALSE</v>
      </c>
      <c r="BH2" s="188" t="str">
        <f>+'様式96_外来・在宅ベースアップ評価料（Ⅱ）'!$D$111</f>
        <v>外来・在宅ベースアップ評価料（Ⅱ）1</v>
      </c>
      <c r="BI2" s="188" t="str">
        <f>+'様式96_外来・在宅ベースアップ評価料（Ⅱ）'!$R$111</f>
        <v>歯科外来・在宅ベースアップ評価料（Ⅱ）1</v>
      </c>
      <c r="BJ2" s="188">
        <f>+'様式96_外来・在宅ベースアップ評価料（Ⅱ）'!$AM$113</f>
        <v>1</v>
      </c>
      <c r="BK2" s="188">
        <f>+'様式96_外来・在宅ベースアップ評価料（Ⅱ）'!$AN$113</f>
        <v>1</v>
      </c>
      <c r="BL2" s="188" t="str">
        <f>+様式97_入院ベースアップ評価料!$H$5</f>
        <v>1234567</v>
      </c>
      <c r="BM2" s="188" t="str">
        <f>+様式97_入院ベースアップ評価料!$H$6</f>
        <v>●●病院</v>
      </c>
      <c r="BN2" s="188" t="b">
        <f>+様式97_入院ベースアップ評価料!$AM$10</f>
        <v>1</v>
      </c>
      <c r="BO2" s="188" t="b">
        <f>+様式97_入院ベースアップ評価料!$AM$11</f>
        <v>0</v>
      </c>
      <c r="BP2" s="188">
        <f>+様式97_入院ベースアップ評価料!$AK$10</f>
        <v>3</v>
      </c>
      <c r="BQ2" s="188" t="b">
        <f>+様式97_入院ベースアップ評価料!$AK$28</f>
        <v>1</v>
      </c>
      <c r="BR2" s="188">
        <f>+様式97_入院ベースアップ評価料!$AK$10</f>
        <v>3</v>
      </c>
      <c r="BS2" s="190">
        <f>+様式97_入院ベースアップ評価料!$M$37</f>
        <v>20400000</v>
      </c>
      <c r="BT2" s="190">
        <f>+様式97_入院ベースアップ評価料!$Z$37</f>
        <v>0</v>
      </c>
      <c r="BU2" s="188">
        <f>+様式97_入院ベースアップ評価料!$AK$10</f>
        <v>3</v>
      </c>
      <c r="BV2" s="188">
        <f>+様式97_入院ベースアップ評価料!$M$48</f>
        <v>500</v>
      </c>
      <c r="BW2" s="188">
        <f>+様式97_入院ベースアップ評価料!$Z$48</f>
        <v>0</v>
      </c>
      <c r="BX2" s="188">
        <f>+様式97_入院ベースアップ評価料!$M$50</f>
        <v>5000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5500</v>
      </c>
      <c r="CM2" s="190">
        <f>+様式97_入院ベースアップ評価料!$Z$69</f>
        <v>0</v>
      </c>
      <c r="CN2" s="190">
        <f>+様式97_入院ベースアップ評価料!$M$71</f>
        <v>13000</v>
      </c>
      <c r="CO2" s="190">
        <f>+様式97_入院ベースアップ評価料!$Z$71</f>
        <v>0</v>
      </c>
      <c r="CP2" s="193">
        <f>+様式97_入院ベースアップ評価料!$M$73</f>
        <v>6.3E-3</v>
      </c>
      <c r="CQ2" s="188">
        <f>+様式97_入院ベースアップ評価料!$M$76</f>
        <v>600</v>
      </c>
      <c r="CR2" s="188">
        <f>+様式97_入院ベースアップ評価料!$Z$76</f>
        <v>0</v>
      </c>
      <c r="CS2" s="188">
        <f>+様式97_入院ベースアップ評価料!$I$84</f>
        <v>56.533333333333331</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入院ベースアップ評価料57</v>
      </c>
      <c r="CZ2" s="188" t="str">
        <f>+'別添_計画書（病院及び有床診療所）'!$V$4</f>
        <v>1234567</v>
      </c>
      <c r="DA2" s="188" t="str">
        <f>+'別添_計画書（病院及び有床診療所）'!$V$5</f>
        <v>●●病院</v>
      </c>
      <c r="DB2" s="188">
        <f>+'別添_計画書（病院及び有床診療所）'!$AJ$9</f>
        <v>2</v>
      </c>
      <c r="DC2" s="188">
        <f>+'別添_計画書（病院及び有床診療所）'!$E$16</f>
        <v>6</v>
      </c>
      <c r="DD2" s="188">
        <f>+'別添_計画書（病院及び有床診療所）'!$H$16</f>
        <v>10</v>
      </c>
      <c r="DE2" s="188">
        <f>+'別添_計画書（病院及び有床診療所）'!$O$16</f>
        <v>7</v>
      </c>
      <c r="DF2" s="188">
        <f>+'別添_計画書（病院及び有床診療所）'!$R$16</f>
        <v>3</v>
      </c>
      <c r="DG2" s="188">
        <f>+'別添_計画書（病院及び有床診療所）'!$V$16</f>
        <v>6</v>
      </c>
      <c r="DH2" s="188">
        <f>+'別添_計画書（病院及び有床診療所）'!$E$21</f>
        <v>6</v>
      </c>
      <c r="DI2" s="188">
        <f>+'別添_計画書（病院及び有床診療所）'!$H$21</f>
        <v>10</v>
      </c>
      <c r="DJ2" s="188">
        <f>+'別添_計画書（病院及び有床診療所）'!$O$21</f>
        <v>7</v>
      </c>
      <c r="DK2" s="188">
        <f>+'別添_計画書（病院及び有床診療所）'!$R$21</f>
        <v>3</v>
      </c>
      <c r="DL2" s="188">
        <f>+'別添_計画書（病院及び有床診療所）'!$V$21</f>
        <v>6</v>
      </c>
      <c r="DM2" s="189">
        <f>+'別添_計画書（病院及び有床診療所）'!$AB$28</f>
        <v>2832000</v>
      </c>
      <c r="DN2" s="189">
        <f>+'別添_計画書（病院及び有床診療所）'!$AB$29</f>
        <v>780000</v>
      </c>
      <c r="DO2" s="189">
        <f>+'別添_計画書（病院及び有床診療所）'!$AB$30</f>
        <v>2052000</v>
      </c>
      <c r="DP2" s="188" t="str">
        <f>+'別添_計画書（病院及び有床診療所）'!$P$31</f>
        <v>入院ベースアップ評価料57</v>
      </c>
      <c r="DQ2" s="188">
        <f>+'別添_計画書（病院及び有床診療所）'!$AB$31</f>
        <v>57</v>
      </c>
      <c r="DR2" s="189">
        <f>+'別添_計画書（病院及び有床診療所）'!$AB$32</f>
        <v>3600</v>
      </c>
      <c r="DS2" s="189">
        <f>+'別添_計画書（病院及び有床診療所）'!$AB$33</f>
        <v>0</v>
      </c>
      <c r="DT2" s="189">
        <f>+'別添_計画書（病院及び有床診療所）'!$AB$34</f>
        <v>0</v>
      </c>
      <c r="DU2" s="189">
        <f>+'別添_計画書（病院及び有床診療所）'!$AB$35</f>
        <v>2832000</v>
      </c>
      <c r="DV2" s="189">
        <f>+'別添_計画書（病院及び有床診療所）'!$AB$40</f>
        <v>4361760</v>
      </c>
      <c r="DW2" s="253" t="str">
        <f>'別添_計画書（病院及び有床診療所）'!AJ40</f>
        <v>OK</v>
      </c>
      <c r="DX2" s="189">
        <f>+'別添_計画書（病院及び有床診療所）'!$AB$41</f>
        <v>2832000</v>
      </c>
      <c r="DY2" s="189">
        <f>+'別添_計画書（病院及び有床診療所）'!$AB$42</f>
        <v>4361760</v>
      </c>
      <c r="DZ2" s="189">
        <f>+'別添_計画書（病院及び有床診療所）'!$AB$43</f>
        <v>0</v>
      </c>
      <c r="EA2" s="189">
        <f>+'別添_計画書（病院及び有床診療所）'!$AB$44</f>
        <v>0</v>
      </c>
      <c r="EB2" s="188">
        <f>+'別添_計画書（病院及び有床診療所）'!$AB$69</f>
        <v>50</v>
      </c>
      <c r="EC2" s="189">
        <f>+'別添_計画書（病院及び有床診療所）'!$AB$70</f>
        <v>14990000</v>
      </c>
      <c r="ED2" s="189">
        <f>+'別添_計画書（病院及び有床診療所）'!$AB$71</f>
        <v>15328000</v>
      </c>
      <c r="EE2" s="189">
        <f>+'別添_計画書（病院及び有床診療所）'!$AB$72</f>
        <v>338000</v>
      </c>
      <c r="EF2" s="189">
        <f>+'別添_計画書（病院及び有床診療所）'!$AB$73</f>
        <v>0</v>
      </c>
      <c r="EG2" s="189">
        <f>+'別添_計画書（病院及び有床診療所）'!$AB$74</f>
        <v>338000</v>
      </c>
      <c r="EH2" s="194">
        <f>+'別添_計画書（病院及び有床診療所）'!$AB$75</f>
        <v>2.2548365577051368</v>
      </c>
      <c r="EI2" s="188">
        <f>+'別添_計画書（病院及び有床診療所）'!$AB$78</f>
        <v>28</v>
      </c>
      <c r="EJ2" s="189">
        <f>+'別添_計画書（病院及び有床診療所）'!$AB$79</f>
        <v>10080000</v>
      </c>
      <c r="EK2" s="189">
        <f>+'別添_計画書（病院及び有床診療所）'!$AB$80</f>
        <v>10300000</v>
      </c>
      <c r="EL2" s="189">
        <f>+'別添_計画書（病院及び有床診療所）'!$AB$81</f>
        <v>220000</v>
      </c>
      <c r="EM2" s="189">
        <f>+'別添_計画書（病院及び有床診療所）'!$AB$82</f>
        <v>0</v>
      </c>
      <c r="EN2" s="189">
        <f>+'別添_計画書（病院及び有床診療所）'!$AB$83</f>
        <v>220000</v>
      </c>
      <c r="EO2" s="194">
        <f>+'別添_計画書（病院及び有床診療所）'!$AB$84</f>
        <v>2.1825396825396823</v>
      </c>
      <c r="EP2" s="188">
        <f>+'別添_計画書（病院及び有床診療所）'!$AB$87</f>
        <v>5</v>
      </c>
      <c r="EQ2" s="189">
        <f>+'別添_計画書（病院及び有床診療所）'!$AB$88</f>
        <v>1650000</v>
      </c>
      <c r="ER2" s="189">
        <f>+'別添_計画書（病院及び有床診療所）'!$AB$89</f>
        <v>1690000</v>
      </c>
      <c r="ES2" s="189">
        <f>+'別添_計画書（病院及び有床診療所）'!$AB$90</f>
        <v>40000</v>
      </c>
      <c r="ET2" s="189">
        <f>+'別添_計画書（病院及び有床診療所）'!$AB$91</f>
        <v>0</v>
      </c>
      <c r="EU2" s="189">
        <f>+'別添_計画書（病院及び有床診療所）'!$AB$92</f>
        <v>40000</v>
      </c>
      <c r="EV2" s="194">
        <f>+'別添_計画書（病院及び有床診療所）'!$AB$93</f>
        <v>2.4242424242424243</v>
      </c>
      <c r="EW2" s="188">
        <f>+'別添_計画書（病院及び有床診療所）'!$AB$96</f>
        <v>6.5</v>
      </c>
      <c r="EX2" s="189">
        <f>+'別添_計画書（病院及び有床診療所）'!$AB$97</f>
        <v>1560000</v>
      </c>
      <c r="EY2" s="189">
        <f>+'別添_計画書（病院及び有床診療所）'!$AB$98</f>
        <v>1598000</v>
      </c>
      <c r="EZ2" s="189">
        <f>+'別添_計画書（病院及び有床診療所）'!$AB$99</f>
        <v>38000</v>
      </c>
      <c r="FA2" s="189">
        <f>+'別添_計画書（病院及び有床診療所）'!$AB$100</f>
        <v>0</v>
      </c>
      <c r="FB2" s="189">
        <f>+'別添_計画書（病院及び有床診療所）'!$AB$101</f>
        <v>38000</v>
      </c>
      <c r="FC2" s="194">
        <f>+'別添_計画書（病院及び有床診療所）'!$AB$102</f>
        <v>2.4358974358974361</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10.5</v>
      </c>
      <c r="FL2" s="189">
        <f>+'別添_計画書（病院及び有床診療所）'!$AB$115</f>
        <v>1700000</v>
      </c>
      <c r="FM2" s="189">
        <f>+'別添_計画書（病院及び有床診療所）'!$AB$116</f>
        <v>1740000</v>
      </c>
      <c r="FN2" s="189">
        <f>+'別添_計画書（病院及び有床診療所）'!$AB$117</f>
        <v>40000</v>
      </c>
      <c r="FO2" s="189">
        <f>+'別添_計画書（病院及び有床診療所）'!$AB$118</f>
        <v>0</v>
      </c>
      <c r="FP2" s="189">
        <f>+'別添_計画書（病院及び有床診療所）'!$AB$119</f>
        <v>40000</v>
      </c>
      <c r="FQ2" s="194">
        <f>+'別添_計画書（病院及び有床診療所）'!$AB$120</f>
        <v>2.3529411764705883</v>
      </c>
      <c r="FR2" s="188">
        <f>+'別添_計画書（病院及び有床診療所）'!$AB$124</f>
        <v>10</v>
      </c>
      <c r="FS2" s="189">
        <f>+'別添_計画書（病院及び有床診療所）'!$AB$125</f>
        <v>0</v>
      </c>
      <c r="FT2" s="189">
        <f>+'別添_計画書（病院及び有床診療所）'!$AB$126</f>
        <v>4200000</v>
      </c>
      <c r="FU2" s="189">
        <f>+'別添_計画書（病院及び有床診療所）'!$AB$127</f>
        <v>0</v>
      </c>
      <c r="FV2" s="189">
        <f>+'別添_計画書（病院及び有床診療所）'!$AB$128</f>
        <v>4270000</v>
      </c>
      <c r="FW2" s="189">
        <f>+'別添_計画書（病院及び有床診療所）'!$AB$129</f>
        <v>0</v>
      </c>
      <c r="FX2" s="189">
        <f>+'別添_計画書（病院及び有床診療所）'!$AB$130</f>
        <v>70000</v>
      </c>
      <c r="FY2" s="189">
        <f>+'別添_計画書（病院及び有床診療所）'!$AB$131</f>
        <v>0</v>
      </c>
      <c r="FZ2" s="189">
        <f>+'別添_計画書（病院及び有床診療所）'!$AB$132</f>
        <v>70000</v>
      </c>
      <c r="GA2" s="194">
        <f>+'別添_計画書（病院及び有床診療所）'!$AB$133</f>
        <v>1.6666666666666667</v>
      </c>
      <c r="GB2" s="188">
        <f>+'別添_計画書（病院及び有床診療所）'!$AB$136</f>
        <v>20</v>
      </c>
      <c r="GC2" s="189">
        <f>+'別添_計画書（病院及び有床診療所）'!$AB$137</f>
        <v>0</v>
      </c>
      <c r="GD2" s="189">
        <f>+'別添_計画書（病院及び有床診療所）'!$AB$138</f>
        <v>3500000</v>
      </c>
      <c r="GE2" s="189">
        <f>+'別添_計画書（病院及び有床診療所）'!$AB$139</f>
        <v>0</v>
      </c>
      <c r="GF2" s="189">
        <f>+'別添_計画書（病院及び有床診療所）'!$AB$140</f>
        <v>3560000</v>
      </c>
      <c r="GG2" s="189">
        <f>+'別添_計画書（病院及び有床診療所）'!$AB$141</f>
        <v>0</v>
      </c>
      <c r="GH2" s="189">
        <f>+'別添_計画書（病院及び有床診療所）'!$AB$142</f>
        <v>60000</v>
      </c>
      <c r="GI2" s="189">
        <f>+'別添_計画書（病院及び有床診療所）'!$AB$143</f>
        <v>0</v>
      </c>
      <c r="GJ2" s="189">
        <f>+'別添_計画書（病院及び有床診療所）'!$AB$144</f>
        <v>60000</v>
      </c>
      <c r="GK2" s="194">
        <f>+'別添_計画書（病院及び有床診療所）'!$AB$145</f>
        <v>1.7142857142857144</v>
      </c>
      <c r="GL2" s="188" t="b">
        <f>+'別添_計画書（病院及び有床診療所）'!$AJ$148</f>
        <v>0</v>
      </c>
      <c r="GM2" s="188" t="b">
        <f>+'別添_計画書（病院及び有床診療所）'!$AJ$149</f>
        <v>1</v>
      </c>
      <c r="GN2" s="188" t="b">
        <f>+'別添_計画書（病院及び有床診療所）'!$AJ$150</f>
        <v>0</v>
      </c>
      <c r="GO2" s="188">
        <f>+'別添_計画書（病院及び有床診療所）'!$J$150</f>
        <v>0</v>
      </c>
      <c r="GP2" s="188" t="str">
        <f>+'別添_計画書（病院及び有床診療所）'!$C$153</f>
        <v>賃金規程の職種別賃金表を改定し、賃金水準の改善を図る。</v>
      </c>
      <c r="GQ2" s="188">
        <f>+'別添_計画書（病院及び有床診療所）'!$E$158</f>
        <v>6</v>
      </c>
      <c r="GR2" s="188">
        <f>+'別添_計画書（病院及び有床診療所）'!$H$158</f>
        <v>9</v>
      </c>
      <c r="GS2" s="188">
        <f>+'別添_計画書（病院及び有床診療所）'!$K$158</f>
        <v>30</v>
      </c>
      <c r="GT2" s="188" t="str">
        <f>+'別添_計画書（病院及び有床診療所）'!$T$158</f>
        <v>●●　●●</v>
      </c>
      <c r="GU2" s="188" t="str">
        <f>+'（別添）_計画書（無床診療所及びⅡを算定する有床診療所）'!$V$4</f>
        <v>1234567</v>
      </c>
      <c r="GV2" s="188" t="str">
        <f>+'（別添）_計画書（無床診療所及びⅡを算定する有床診療所）'!$V$5</f>
        <v>●●病院</v>
      </c>
      <c r="GW2" s="188">
        <f>+'（別添）_計画書（無床診療所及びⅡを算定する有床診療所）'!$AJ$9</f>
        <v>1</v>
      </c>
      <c r="GX2" s="188">
        <f>+'（別添）_計画書（無床診療所及びⅡを算定する有床診療所）'!$E$16</f>
        <v>6</v>
      </c>
      <c r="GY2" s="188">
        <f>+'（別添）_計画書（無床診療所及びⅡを算定する有床診療所）'!$H$16</f>
        <v>10</v>
      </c>
      <c r="GZ2" s="188">
        <f>+'（別添）_計画書（無床診療所及びⅡを算定する有床診療所）'!$O$16</f>
        <v>7</v>
      </c>
      <c r="HA2" s="188">
        <f>+'（別添）_計画書（無床診療所及びⅡを算定する有床診療所）'!$R$16</f>
        <v>3</v>
      </c>
      <c r="HB2" s="188">
        <f>+'（別添）_計画書（無床診療所及びⅡを算定する有床診療所）'!$V$16</f>
        <v>6</v>
      </c>
      <c r="HC2" s="188">
        <f>+'（別添）_計画書（無床診療所及びⅡを算定する有床診療所）'!$E$21</f>
        <v>6</v>
      </c>
      <c r="HD2" s="188">
        <f>+'（別添）_計画書（無床診療所及びⅡを算定する有床診療所）'!$H$21</f>
        <v>10</v>
      </c>
      <c r="HE2" s="188">
        <f>+'（別添）_計画書（無床診療所及びⅡを算定する有床診療所）'!$O$21</f>
        <v>7</v>
      </c>
      <c r="HF2" s="188">
        <f>+'（別添）_計画書（無床診療所及びⅡを算定する有床診療所）'!$R$21</f>
        <v>3</v>
      </c>
      <c r="HG2" s="188">
        <f>+'（別添）_計画書（無床診療所及びⅡを算定する有床診療所）'!$V$21</f>
        <v>6</v>
      </c>
      <c r="HH2" s="188" t="b">
        <f>+'（別添）_計画書（無床診療所及びⅡを算定する有床診療所）'!$AH$27</f>
        <v>1</v>
      </c>
      <c r="HI2" s="189">
        <f>+'（別添）_計画書（無床診療所及びⅡを算定する有床診療所）'!$AB$33</f>
        <v>216000</v>
      </c>
      <c r="HJ2" s="189">
        <f>+'（別添）_計画書（無床診療所及びⅡを算定する有床診療所）'!$AB$34</f>
        <v>132000</v>
      </c>
      <c r="HK2" s="189">
        <f>+'（別添）_計画書（無床診療所及びⅡを算定する有床診療所）'!$AB$35</f>
        <v>2200</v>
      </c>
      <c r="HL2" s="189">
        <f>+'（別添）_計画書（無床診療所及びⅡを算定する有床診療所）'!$AB$36</f>
        <v>84000</v>
      </c>
      <c r="HM2" s="188" t="str">
        <f>+'（別添）_計画書（無床診療所及びⅡを算定する有床診療所）'!$R$37</f>
        <v>外来・在宅ベースアップ評価料（Ⅱ）1</v>
      </c>
      <c r="HN2" s="188">
        <f>+'（別添）_計画書（無床診療所及びⅡを算定する有床診療所）'!$AA$37</f>
        <v>8</v>
      </c>
      <c r="HO2" s="188">
        <f>+'（別添）_計画書（無床診療所及びⅡを算定する有床診療所）'!$AF$37</f>
        <v>1</v>
      </c>
      <c r="HP2" s="188">
        <f>+'（別添）_計画書（無床診療所及びⅡを算定する有床診療所）'!$AB$38</f>
        <v>600</v>
      </c>
      <c r="HQ2" s="189">
        <f>+'（別添）_計画書（無床診療所及びⅡを算定する有床診療所）'!$AB$39</f>
        <v>3600</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216000</v>
      </c>
      <c r="HU2" s="189">
        <f>+'（別添）_計画書（無床診療所及びⅡを算定する有床診療所）'!$AB$47</f>
        <v>301000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301000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3.5</v>
      </c>
      <c r="IB2" s="189">
        <f>+'（別添）_計画書（無床診療所及びⅡを算定する有床診療所）'!$AB$75</f>
        <v>1330000</v>
      </c>
      <c r="IC2" s="189">
        <f>+'（別添）_計画書（無床診療所及びⅡを算定する有床診療所）'!$AB$76</f>
        <v>1358000</v>
      </c>
      <c r="ID2" s="189">
        <f>+'（別添）_計画書（無床診療所及びⅡを算定する有床診療所）'!$AB$77</f>
        <v>28000</v>
      </c>
      <c r="IE2" s="189">
        <f>+'（別添）_計画書（無床診療所及びⅡを算定する有床診療所）'!$AB$78</f>
        <v>3500</v>
      </c>
      <c r="IF2" s="189">
        <f>+'（別添）_計画書（無床診療所及びⅡを算定する有床診療所）'!$AB$79</f>
        <v>28000</v>
      </c>
      <c r="IG2" s="194">
        <f>+'（別添）_計画書（無床診療所及びⅡを算定する有床診療所）'!$AB$80</f>
        <v>2.1052631578947367</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1.2</v>
      </c>
      <c r="JU2" s="189">
        <f>+'（別添）_計画書（無床診療所及びⅡを算定する有床診療所）'!$AB$133</f>
        <v>0</v>
      </c>
      <c r="JV2" s="189">
        <f>+'（別添）_計画書（無床診療所及びⅡを算定する有床診療所）'!$AB$134</f>
        <v>240000</v>
      </c>
      <c r="JW2" s="189">
        <f>+'（別添）_計画書（無床診療所及びⅡを算定する有床診療所）'!$AB$135</f>
        <v>0</v>
      </c>
      <c r="JX2" s="189">
        <f>+'（別添）_計画書（無床診療所及びⅡを算定する有床診療所）'!$AB$136</f>
        <v>249600</v>
      </c>
      <c r="JY2" s="189">
        <f>+'（別添）_計画書（無床診療所及びⅡを算定する有床診療所）'!$AB$137</f>
        <v>0</v>
      </c>
      <c r="JZ2" s="189">
        <f>+'（別添）_計画書（無床診療所及びⅡを算定する有床診療所）'!$AB$138</f>
        <v>9600</v>
      </c>
      <c r="KA2" s="189">
        <f>+'（別添）_計画書（無床診療所及びⅡを算定する有床診療所）'!$AB$139</f>
        <v>1200</v>
      </c>
      <c r="KB2" s="189">
        <f>+'（別添）_計画書（無床診療所及びⅡを算定する有床診療所）'!$AB$140</f>
        <v>9600</v>
      </c>
      <c r="KC2" s="194">
        <f>+'（別添）_計画書（無床診療所及びⅡを算定する有床診療所）'!$AB$141</f>
        <v>4</v>
      </c>
      <c r="KD2" s="188" t="b">
        <f>+'（別添）_計画書（無床診療所及びⅡを算定する有床診療所）'!$AJ$144</f>
        <v>0</v>
      </c>
      <c r="KE2" s="188" t="b">
        <f>+'（別添）_計画書（無床診療所及びⅡを算定する有床診療所）'!$AJ$145</f>
        <v>1</v>
      </c>
      <c r="KF2" s="188" t="b">
        <f>+'（別添）_計画書（無床診療所及びⅡを算定する有床診療所）'!$AJ$146</f>
        <v>0</v>
      </c>
      <c r="KG2" s="188">
        <f>+'（別添）_計画書（無床診療所及びⅡを算定する有床診療所）'!$J$146</f>
        <v>0</v>
      </c>
      <c r="KH2" s="188" t="str">
        <f>+'（別添）_計画書（無床診療所及びⅡを算定する有床診療所）'!$C$149</f>
        <v>常勤職員に対して、ベースアップ評価料手当として月8,000円を従来の給与に上乗せして支給することとした。またパート職員についても、8,000円に個々の常勤換算数を乗じた金額を従来の給与に上乗せ支給することとした。</v>
      </c>
      <c r="KI2" s="188">
        <f>+'（別添）_計画書（無床診療所及びⅡを算定する有床診療所）'!$E$154</f>
        <v>6</v>
      </c>
      <c r="KJ2" s="188">
        <f>+'（別添）_計画書（無床診療所及びⅡを算定する有床診療所）'!$H$154</f>
        <v>9</v>
      </c>
      <c r="KK2" s="188">
        <f>+'（別添）_計画書（無床診療所及びⅡを算定する有床診療所）'!$K$154</f>
        <v>30</v>
      </c>
      <c r="KL2" s="188" t="str">
        <f>+'（別添）_計画書（無床診療所及びⅡを算定する有床診療所）'!$T$154</f>
        <v>●●　●●</v>
      </c>
      <c r="KM2" s="188" t="str">
        <f>+'（別添）_計画書（歯科診療所及びⅡを算定する有床診療所）'!$V$4</f>
        <v>1234567</v>
      </c>
      <c r="KN2" s="188" t="str">
        <f>+'（別添）_計画書（歯科診療所及びⅡを算定する有床診療所）'!$V$5</f>
        <v>●●病院</v>
      </c>
      <c r="KO2" s="188">
        <f>+'（別添）_計画書（歯科診療所及びⅡを算定する有床診療所）'!$AK$9</f>
        <v>1</v>
      </c>
      <c r="KP2" s="188">
        <f>+'（別添）_計画書（歯科診療所及びⅡを算定する有床診療所）'!$E$16</f>
        <v>6</v>
      </c>
      <c r="KQ2" s="188">
        <f>+'（別添）_計画書（歯科診療所及びⅡを算定する有床診療所）'!$H$16</f>
        <v>10</v>
      </c>
      <c r="KR2" s="188">
        <f>+'（別添）_計画書（歯科診療所及びⅡを算定する有床診療所）'!$O$16</f>
        <v>7</v>
      </c>
      <c r="KS2" s="188">
        <f>+'（別添）_計画書（歯科診療所及びⅡを算定する有床診療所）'!$R$16</f>
        <v>3</v>
      </c>
      <c r="KT2" s="188">
        <f>+'（別添）_計画書（歯科診療所及びⅡを算定する有床診療所）'!$V$16</f>
        <v>6</v>
      </c>
      <c r="KU2" s="188">
        <f>+'（別添）_計画書（歯科診療所及びⅡを算定する有床診療所）'!$E$21</f>
        <v>6</v>
      </c>
      <c r="KV2" s="188">
        <f>+'（別添）_計画書（歯科診療所及びⅡを算定する有床診療所）'!$H$21</f>
        <v>10</v>
      </c>
      <c r="KW2" s="188">
        <f>+'（別添）_計画書（歯科診療所及びⅡを算定する有床診療所）'!$O$21</f>
        <v>7</v>
      </c>
      <c r="KX2" s="188">
        <f>+'（別添）_計画書（歯科診療所及びⅡを算定する有床診療所）'!$R$21</f>
        <v>3</v>
      </c>
      <c r="KY2" s="188">
        <f>+'（別添）_計画書（歯科診療所及びⅡを算定する有床診療所）'!$V$21</f>
        <v>6</v>
      </c>
      <c r="KZ2" s="188" t="b">
        <f>+'（別添）_計画書（歯科診療所及びⅡを算定する有床診療所）'!$AI$27</f>
        <v>1</v>
      </c>
      <c r="LA2" s="189">
        <f>+'（別添）_計画書（歯科診療所及びⅡを算定する有床診療所）'!$AB$33</f>
        <v>216000</v>
      </c>
      <c r="LB2" s="189">
        <f>+'（別添）_計画書（歯科診療所及びⅡを算定する有床診療所）'!$AB$34</f>
        <v>132000</v>
      </c>
      <c r="LC2" s="189">
        <f>+'（別添）_計画書（歯科診療所及びⅡを算定する有床診療所）'!$AB$35</f>
        <v>2200</v>
      </c>
      <c r="LD2" s="189">
        <f>+'（別添）_計画書（歯科診療所及びⅡを算定する有床診療所）'!$AB$36</f>
        <v>84000</v>
      </c>
      <c r="LE2" s="188" t="str">
        <f>+'（別添）_計画書（歯科診療所及びⅡを算定する有床診療所）'!$R$37</f>
        <v>歯科外来・在宅ベースアップ評価料（Ⅱ）1</v>
      </c>
      <c r="LF2" s="188">
        <f>+'（別添）_計画書（歯科診療所及びⅡを算定する有床診療所）'!$AA$37</f>
        <v>8</v>
      </c>
      <c r="LG2" s="188">
        <f>+'（別添）_計画書（歯科診療所及びⅡを算定する有床診療所）'!$AF$37</f>
        <v>1</v>
      </c>
      <c r="LH2" s="188">
        <f>+'（別添）_計画書（歯科診療所及びⅡを算定する有床診療所）'!$AB$38</f>
        <v>600</v>
      </c>
      <c r="LI2" s="189">
        <f>+'（別添）_計画書（歯科診療所及びⅡを算定する有床診療所）'!$AB$39</f>
        <v>3600</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216000</v>
      </c>
      <c r="LM2" s="189">
        <f>+'（別添）_計画書（歯科診療所及びⅡを算定する有床診療所）'!$AB$47</f>
        <v>366000</v>
      </c>
      <c r="LN2" s="253" t="str">
        <f>'（別添）_計画書（歯科診療所及びⅡを算定する有床診療所）'!AI47</f>
        <v>OK</v>
      </c>
      <c r="LO2" s="189">
        <f>+'（別添）_計画書（歯科診療所及びⅡを算定する有床診療所）'!$AB$48</f>
        <v>366000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4.5</v>
      </c>
      <c r="LT2" s="189">
        <f>+'（別添）_計画書（歯科診療所及びⅡを算定する有床診療所）'!$AB$75</f>
        <v>1500000</v>
      </c>
      <c r="LU2" s="189">
        <f>+'（別添）_計画書（歯科診療所及びⅡを算定する有床診療所）'!$AB$76</f>
        <v>1527000</v>
      </c>
      <c r="LV2" s="189">
        <f>+'（別添）_計画書（歯科診療所及びⅡを算定する有床診療所）'!$AB$77</f>
        <v>27000</v>
      </c>
      <c r="LW2" s="189">
        <f>+'（別添）_計画書（歯科診療所及びⅡを算定する有床診療所）'!$AB$78</f>
        <v>4500</v>
      </c>
      <c r="LX2" s="189">
        <f>+'（別添）_計画書（歯科診療所及びⅡを算定する有床診療所）'!$AB$79</f>
        <v>27000</v>
      </c>
      <c r="LY2" s="194">
        <f>+'（別添）_計画書（歯科診療所及びⅡを算定する有床診療所）'!$AB$80</f>
        <v>1.7999999999999998</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1</v>
      </c>
      <c r="NC2" s="189">
        <f>+'（別添）_計画書（歯科診療所及びⅡを算定する有床診療所）'!$AB$121</f>
        <v>0</v>
      </c>
      <c r="ND2" s="189">
        <f>+'（別添）_計画書（歯科診療所及びⅡを算定する有床診療所）'!$AB$122</f>
        <v>420000</v>
      </c>
      <c r="NE2" s="189">
        <f>+'（別添）_計画書（歯科診療所及びⅡを算定する有床診療所）'!$AB$123</f>
        <v>0</v>
      </c>
      <c r="NF2" s="189">
        <f>+'（別添）_計画書（歯科診療所及びⅡを算定する有床診療所）'!$AB$124</f>
        <v>426000</v>
      </c>
      <c r="NG2" s="189">
        <f>+'（別添）_計画書（歯科診療所及びⅡを算定する有床診療所）'!$AB$125</f>
        <v>0</v>
      </c>
      <c r="NH2" s="189">
        <f>+'（別添）_計画書（歯科診療所及びⅡを算定する有床診療所）'!$AB$126</f>
        <v>6000</v>
      </c>
      <c r="NI2" s="189">
        <f>+'（別添）_計画書（歯科診療所及びⅡを算定する有床診療所）'!$AB$127</f>
        <v>1000</v>
      </c>
      <c r="NJ2" s="189">
        <f>+'（別添）_計画書（歯科診療所及びⅡを算定する有床診療所）'!$AB$128</f>
        <v>6000</v>
      </c>
      <c r="NK2" s="188">
        <f>+'（別添）_計画書（歯科診療所及びⅡを算定する有床診療所）'!$AB$129</f>
        <v>1.4285714285714286</v>
      </c>
      <c r="NL2" s="188">
        <f>+'（別添）_計画書（歯科診療所及びⅡを算定する有床診療所）'!$AB$132</f>
        <v>2</v>
      </c>
      <c r="NM2" s="189">
        <f>+'（別添）_計画書（歯科診療所及びⅡを算定する有床診療所）'!$AB$133</f>
        <v>0</v>
      </c>
      <c r="NN2" s="189">
        <f>+'（別添）_計画書（歯科診療所及びⅡを算定する有床診療所）'!$AB$134</f>
        <v>350000</v>
      </c>
      <c r="NO2" s="189">
        <f>+'（別添）_計画書（歯科診療所及びⅡを算定する有床診療所）'!$AB$135</f>
        <v>0</v>
      </c>
      <c r="NP2" s="189">
        <f>+'（別添）_計画書（歯科診療所及びⅡを算定する有床診療所）'!$AB$136</f>
        <v>362000</v>
      </c>
      <c r="NQ2" s="189">
        <f>+'（別添）_計画書（歯科診療所及びⅡを算定する有床診療所）'!$AB$137</f>
        <v>0</v>
      </c>
      <c r="NR2" s="189">
        <f>+'（別添）_計画書（歯科診療所及びⅡを算定する有床診療所）'!$AB$138</f>
        <v>12000</v>
      </c>
      <c r="NS2" s="189">
        <f>+'（別添）_計画書（歯科診療所及びⅡを算定する有床診療所）'!$AB$139</f>
        <v>2000</v>
      </c>
      <c r="NT2" s="189">
        <f>+'（別添）_計画書（歯科診療所及びⅡを算定する有床診療所）'!$AB$140</f>
        <v>12000</v>
      </c>
      <c r="NU2" s="188">
        <f>+'（別添）_計画書（歯科診療所及びⅡを算定する有床診療所）'!$AB$141</f>
        <v>3.4285714285714288</v>
      </c>
      <c r="NV2" s="188" t="b">
        <f>+'（別添）_計画書（歯科診療所及びⅡを算定する有床診療所）'!$AI$144</f>
        <v>0</v>
      </c>
      <c r="NW2" s="188" t="b">
        <f>+'（別添）_計画書（歯科診療所及びⅡを算定する有床診療所）'!$AI$145</f>
        <v>1</v>
      </c>
      <c r="NX2" s="188" t="b">
        <f>+'（別添）_計画書（歯科診療所及びⅡを算定する有床診療所）'!$AI$146</f>
        <v>0</v>
      </c>
      <c r="NY2" s="188">
        <f>+'（別添）_計画書（歯科診療所及びⅡを算定する有床診療所）'!$J$146</f>
        <v>0</v>
      </c>
      <c r="NZ2" s="188" t="str">
        <f>+'（別添）_計画書（歯科診療所及びⅡを算定する有床診療所）'!$C$149</f>
        <v>常勤職員に対して、ベースアップ評価料手当として月6,000円を従来の給与に上乗せして支給することとした。またパート職員についても、6,000円に個々の常勤換算数を乗じた金額を従来の給与に上乗せ支給することとした。</v>
      </c>
      <c r="OA2" s="188">
        <f>+'（別添）_計画書（歯科診療所及びⅡを算定する有床診療所）'!$E$154</f>
        <v>6</v>
      </c>
      <c r="OB2" s="188">
        <f>+'（別添）_計画書（歯科診療所及びⅡを算定する有床診療所）'!$H$154</f>
        <v>9</v>
      </c>
      <c r="OC2" s="188">
        <f>+'（別添）_計画書（歯科診療所及びⅡを算定する有床診療所）'!$K$154</f>
        <v>30</v>
      </c>
      <c r="OD2" s="188" t="str">
        <f>+'（別添）_計画書（歯科診療所及びⅡを算定する有床診療所）'!$T$154</f>
        <v>●●　●●</v>
      </c>
      <c r="OE2" s="188" t="str">
        <f>+'（別添）_実績報告書（病院及び有床診療所）'!$X$4</f>
        <v>1234567</v>
      </c>
      <c r="OF2" s="188" t="str">
        <f>+'（別添）_実績報告書（病院及び有床診療所）'!$X$5</f>
        <v>●●病院</v>
      </c>
      <c r="OG2" s="188" t="s">
        <v>1504</v>
      </c>
      <c r="OH2" s="188">
        <f>+'（別添）_実績報告書（病院及び有床診療所）'!$E$13</f>
        <v>6</v>
      </c>
      <c r="OI2" s="188">
        <f>+'（別添）_実績報告書（病院及び有床診療所）'!$H$13</f>
        <v>10</v>
      </c>
      <c r="OJ2" s="188">
        <f>+'（別添）_実績報告書（病院及び有床診療所）'!$O$13</f>
        <v>7</v>
      </c>
      <c r="OK2" s="188">
        <f>+'（別添）_実績報告書（病院及び有床診療所）'!$R$13</f>
        <v>3</v>
      </c>
      <c r="OL2" s="188">
        <f>+'（別添）_実績報告書（病院及び有床診療所）'!$V$13</f>
        <v>6</v>
      </c>
      <c r="OM2" s="188">
        <f>+'（別添）_実績報告書（病院及び有床診療所）'!$E$16</f>
        <v>6</v>
      </c>
      <c r="ON2" s="188">
        <f>+'（別添）_実績報告書（病院及び有床診療所）'!$H$16</f>
        <v>10</v>
      </c>
      <c r="OO2" s="188">
        <f>+'（別添）_実績報告書（病院及び有床診療所）'!$O$16</f>
        <v>0</v>
      </c>
      <c r="OP2" s="188">
        <f>+'（別添）_実績報告書（病院及び有床診療所）'!$R$16</f>
        <v>0</v>
      </c>
      <c r="OQ2" s="188" t="str">
        <f>+'（別添）_実績報告書（病院及び有床診療所）'!$V$16</f>
        <v>エラー</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50</v>
      </c>
      <c r="QL2" s="189">
        <f>+'（別添）_実績報告書（病院及び有床診療所）'!$AB$88</f>
        <v>14990000</v>
      </c>
      <c r="QM2" s="189">
        <f>+'（別添）_実績報告書（病院及び有床診療所）'!$AB$89</f>
        <v>0</v>
      </c>
      <c r="QN2" s="189">
        <f>+'（別添）_実績報告書（病院及び有床診療所）'!$AB$90</f>
        <v>-14990000</v>
      </c>
      <c r="QO2" s="189">
        <f>+'（別添）_実績報告書（病院及び有床診療所）'!$AB$91</f>
        <v>0</v>
      </c>
      <c r="QP2" s="189">
        <f>+'（別添）_実績報告書（病院及び有床診療所）'!$AB$92</f>
        <v>-14990000</v>
      </c>
      <c r="QQ2" s="188">
        <f>+'（別添）_実績報告書（病院及び有床診療所）'!$AB$93</f>
        <v>-100</v>
      </c>
      <c r="QR2" s="194">
        <f>+'（別添）_実績報告書（病院及び有床診療所）'!$AB$96</f>
        <v>28</v>
      </c>
      <c r="QS2" s="189">
        <f>+'（別添）_実績報告書（病院及び有床診療所）'!$AB$97</f>
        <v>10080000</v>
      </c>
      <c r="QT2" s="189">
        <f>+'（別添）_実績報告書（病院及び有床診療所）'!$AB$98</f>
        <v>0</v>
      </c>
      <c r="QU2" s="189">
        <f>+'（別添）_実績報告書（病院及び有床診療所）'!$AB$99</f>
        <v>-10080000</v>
      </c>
      <c r="QV2" s="189">
        <f>+'（別添）_実績報告書（病院及び有床診療所）'!$AB$100</f>
        <v>0</v>
      </c>
      <c r="QW2" s="189">
        <f>+'（別添）_実績報告書（病院及び有床診療所）'!$AB$101</f>
        <v>-10080000</v>
      </c>
      <c r="QX2" s="188">
        <f>+'（別添）_実績報告書（病院及び有床診療所）'!$AB$102</f>
        <v>-100</v>
      </c>
      <c r="QY2" s="194">
        <f>+'（別添）_実績報告書（病院及び有床診療所）'!$AB$105</f>
        <v>5</v>
      </c>
      <c r="QZ2" s="189">
        <f>+'（別添）_実績報告書（病院及び有床診療所）'!$AB$106</f>
        <v>1650000</v>
      </c>
      <c r="RA2" s="189">
        <f>+'（別添）_実績報告書（病院及び有床診療所）'!$AB$107</f>
        <v>0</v>
      </c>
      <c r="RB2" s="189">
        <f>+'（別添）_実績報告書（病院及び有床診療所）'!$AB$108</f>
        <v>-1650000</v>
      </c>
      <c r="RC2" s="189">
        <f>+'（別添）_実績報告書（病院及び有床診療所）'!$AB$109</f>
        <v>0</v>
      </c>
      <c r="RD2" s="189">
        <f>+'（別添）_実績報告書（病院及び有床診療所）'!$AB$110</f>
        <v>-1650000</v>
      </c>
      <c r="RE2" s="188">
        <f>+'（別添）_実績報告書（病院及び有床診療所）'!$AB$111</f>
        <v>-100</v>
      </c>
      <c r="RF2" s="194">
        <f>+'（別添）_実績報告書（病院及び有床診療所）'!$AB$114</f>
        <v>6.5</v>
      </c>
      <c r="RG2" s="189">
        <f>+'（別添）_実績報告書（病院及び有床診療所）'!$AB$115</f>
        <v>1560000</v>
      </c>
      <c r="RH2" s="189">
        <f>+'（別添）_実績報告書（病院及び有床診療所）'!$AB$116</f>
        <v>0</v>
      </c>
      <c r="RI2" s="189">
        <f>+'（別添）_実績報告書（病院及び有床診療所）'!$AB$117</f>
        <v>-1560000</v>
      </c>
      <c r="RJ2" s="189">
        <f>+'（別添）_実績報告書（病院及び有床診療所）'!$AB$118</f>
        <v>0</v>
      </c>
      <c r="RK2" s="189">
        <f>+'（別添）_実績報告書（病院及び有床診療所）'!$AB$119</f>
        <v>-1560000</v>
      </c>
      <c r="RL2" s="188">
        <f>+'（別添）_実績報告書（病院及び有床診療所）'!$AB$120</f>
        <v>-100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10.5</v>
      </c>
      <c r="RU2" s="189">
        <f>+'（別添）_実績報告書（病院及び有床診療所）'!$AB$133</f>
        <v>1700000</v>
      </c>
      <c r="RV2" s="189">
        <f>+'（別添）_実績報告書（病院及び有床診療所）'!$AB$134</f>
        <v>0</v>
      </c>
      <c r="RW2" s="189">
        <f>+'（別添）_実績報告書（病院及び有床診療所）'!$AB$135</f>
        <v>-1700000</v>
      </c>
      <c r="RX2" s="189">
        <f>+'（別添）_実績報告書（病院及び有床診療所）'!$AB$136</f>
        <v>0</v>
      </c>
      <c r="RY2" s="189">
        <f>+'（別添）_実績報告書（病院及び有床診療所）'!$AB$137</f>
        <v>-1700000</v>
      </c>
      <c r="RZ2" s="189">
        <f>+'（別添）_実績報告書（病院及び有床診療所）'!$AB$138</f>
        <v>-100</v>
      </c>
      <c r="SA2" s="189">
        <f>+'（別添）_実績報告書（病院及び有床診療所）'!$AB$142</f>
        <v>10</v>
      </c>
      <c r="SB2" s="188" t="s">
        <v>1504</v>
      </c>
      <c r="SC2" s="189">
        <f>+'（別添）_実績報告書（病院及び有床診療所）'!$AB$144</f>
        <v>4200000</v>
      </c>
      <c r="SD2" s="188" t="s">
        <v>1504</v>
      </c>
      <c r="SE2" s="189">
        <f>+'（別添）_実績報告書（病院及び有床診療所）'!$AB$146</f>
        <v>0</v>
      </c>
      <c r="SF2" s="188" t="s">
        <v>1504</v>
      </c>
      <c r="SG2" s="189">
        <f>+'（別添）_実績報告書（病院及び有床診療所）'!$AB$148</f>
        <v>-4200000</v>
      </c>
      <c r="SH2" s="189">
        <f>+'（別添）_実績報告書（病院及び有床診療所）'!$AB$149</f>
        <v>0</v>
      </c>
      <c r="SI2" s="189">
        <f>+'（別添）_実績報告書（病院及び有床診療所）'!$AB$150</f>
        <v>-4200000</v>
      </c>
      <c r="SJ2" s="330">
        <f>+'（別添）_実績報告書（病院及び有床診療所）'!$AB$151</f>
        <v>-100</v>
      </c>
      <c r="SK2" s="189">
        <f>+'（別添）_実績報告書（病院及び有床診療所）'!$AB$154</f>
        <v>20</v>
      </c>
      <c r="SL2" s="188" t="s">
        <v>1504</v>
      </c>
      <c r="SM2" s="189">
        <f>+'（別添）_実績報告書（病院及び有床診療所）'!$AB$156</f>
        <v>3500000</v>
      </c>
      <c r="SN2" s="188" t="s">
        <v>1504</v>
      </c>
      <c r="SO2" s="189">
        <f>+'（別添）_実績報告書（病院及び有床診療所）'!$AB$158</f>
        <v>0</v>
      </c>
      <c r="SP2" s="188" t="s">
        <v>1504</v>
      </c>
      <c r="SQ2" s="189">
        <f>+'（別添）_実績報告書（病院及び有床診療所）'!$AB$160</f>
        <v>-3500000</v>
      </c>
      <c r="SR2" s="189">
        <f>+'（別添）_実績報告書（病院及び有床診療所）'!$AB$161</f>
        <v>0</v>
      </c>
      <c r="SS2" s="189">
        <f>+'（別添）_実績報告書（病院及び有床診療所）'!$AB$162</f>
        <v>-3500000</v>
      </c>
      <c r="ST2" s="330">
        <f>+'（別添）_実績報告書（病院及び有床診療所）'!$AB$163</f>
        <v>-100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1234567</v>
      </c>
      <c r="SZ2" s="188" t="str">
        <f>'（別添）実績報告書（診療所）'!X5</f>
        <v>●●病院</v>
      </c>
      <c r="TA2" s="188" t="s">
        <v>1539</v>
      </c>
      <c r="TB2" s="188">
        <f>'（別添）実績報告書（診療所）'!E12</f>
        <v>6</v>
      </c>
      <c r="TC2" s="188">
        <f>'（別添）実績報告書（診療所）'!H12</f>
        <v>10</v>
      </c>
      <c r="TD2" s="188">
        <f>'（別添）実績報告書（診療所）'!O12</f>
        <v>7</v>
      </c>
      <c r="TE2" s="188">
        <f>'（別添）実績報告書（診療所）'!$R$12</f>
        <v>3</v>
      </c>
      <c r="TF2" s="188">
        <f>'（別添）実績報告書（診療所）'!$V$12</f>
        <v>6</v>
      </c>
      <c r="TG2" s="188">
        <f>+'（別添）実績報告書（診療所）'!$E$15</f>
        <v>6</v>
      </c>
      <c r="TH2" s="188">
        <f>+'（別添）実績報告書（診療所）'!$H$15</f>
        <v>10</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3.5</v>
      </c>
      <c r="VT2" s="189">
        <f>+'（別添）実績報告書（診療所）'!$AB$86</f>
        <v>1330000</v>
      </c>
      <c r="VU2" s="189">
        <f>+'（別添）実績報告書（診療所）'!$AB$87</f>
        <v>0</v>
      </c>
      <c r="VV2" s="189">
        <f>+'（別添）実績報告書（診療所）'!$AB$88</f>
        <v>-1330000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1.2</v>
      </c>
      <c r="XM2" s="188" t="s">
        <v>1504</v>
      </c>
      <c r="XN2" s="189">
        <f>+'（別添）実績報告書（診療所）'!$AB$145</f>
        <v>240000</v>
      </c>
      <c r="XO2" s="188" t="s">
        <v>1504</v>
      </c>
      <c r="XP2" s="189">
        <f>+'（別添）実績報告書（診療所）'!$AB$147</f>
        <v>0</v>
      </c>
      <c r="XQ2" s="188" t="s">
        <v>1504</v>
      </c>
      <c r="XR2" s="189">
        <f>+'（別添）実績報告書（診療所）'!$AB$149</f>
        <v>-240000</v>
      </c>
      <c r="XS2" s="189">
        <f>+'（別添）実績報告書（診療所）'!$AB$150</f>
        <v>1200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1234567</v>
      </c>
      <c r="YA2" s="188" t="str">
        <f>+'（別添）_実績報告書（歯科診療所及びⅡを算定する有床診療所）'!$X$5</f>
        <v>●●病院</v>
      </c>
      <c r="YB2" s="188">
        <f>+'（別添）_実績報告書（歯科診療所及びⅡを算定する有床診療所）'!$AH$8</f>
        <v>0</v>
      </c>
      <c r="YC2" s="188">
        <f>+'（別添）_実績報告書（歯科診療所及びⅡを算定する有床診療所）'!$E$12</f>
        <v>6</v>
      </c>
      <c r="YD2" s="188">
        <f>+'（別添）_実績報告書（歯科診療所及びⅡを算定する有床診療所）'!$H$12</f>
        <v>10</v>
      </c>
      <c r="YE2" s="188">
        <f>+'（別添）_実績報告書（歯科診療所及びⅡを算定する有床診療所）'!$O$12</f>
        <v>7</v>
      </c>
      <c r="YF2" s="188">
        <f>+'（別添）_実績報告書（歯科診療所及びⅡを算定する有床診療所）'!$R$12</f>
        <v>3</v>
      </c>
      <c r="YG2" s="188">
        <f>+'（別添）_実績報告書（歯科診療所及びⅡを算定する有床診療所）'!$V$12</f>
        <v>6</v>
      </c>
      <c r="YH2" s="188">
        <f>+'（別添）_実績報告書（歯科診療所及びⅡを算定する有床診療所）'!$E$15</f>
        <v>6</v>
      </c>
      <c r="YI2" s="188">
        <f>+'（別添）_実績報告書（歯科診療所及びⅡを算定する有床診療所）'!$H$15</f>
        <v>10</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6</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4.5</v>
      </c>
      <c r="AAU2" s="189">
        <f>+'（別添）_実績報告書（歯科診療所及びⅡを算定する有床診療所）'!$AB$86</f>
        <v>1500000</v>
      </c>
      <c r="AAV2" s="189">
        <f>+'（別添）_実績報告書（歯科診療所及びⅡを算定する有床診療所）'!$AB$87</f>
        <v>0</v>
      </c>
      <c r="AAW2" s="189">
        <f>+'（別添）_実績報告書（歯科診療所及びⅡを算定する有床診療所）'!$AB$88</f>
        <v>-1500000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1</v>
      </c>
      <c r="ACD2" s="189" t="s">
        <v>1504</v>
      </c>
      <c r="ACE2" s="189">
        <f>+'（別添）_実績報告書（歯科診療所及びⅡを算定する有床診療所）'!$AB$133</f>
        <v>420000</v>
      </c>
      <c r="ACF2" s="189" t="s">
        <v>1504</v>
      </c>
      <c r="ACG2" s="189">
        <f>+'（別添）_実績報告書（歯科診療所及びⅡを算定する有床診療所）'!$AB$135</f>
        <v>0</v>
      </c>
      <c r="ACH2" s="189" t="s">
        <v>1504</v>
      </c>
      <c r="ACI2" s="189">
        <f>+'（別添）_実績報告書（歯科診療所及びⅡを算定する有床診療所）'!$AB$137</f>
        <v>-420000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2</v>
      </c>
      <c r="ACN2" s="189" t="s">
        <v>1504</v>
      </c>
      <c r="ACO2" s="189">
        <f>+'（別添）_実績報告書（歯科診療所及びⅡを算定する有床診療所）'!$AB$145</f>
        <v>350000</v>
      </c>
      <c r="ACP2" s="189" t="s">
        <v>1504</v>
      </c>
      <c r="ACQ2" s="189">
        <f>+'（別添）_実績報告書（歯科診療所及びⅡを算定する有床診療所）'!$AB$147</f>
        <v>0</v>
      </c>
      <c r="ACR2" s="189" t="s">
        <v>1504</v>
      </c>
      <c r="ACS2" s="189">
        <f>+'（別添）_実績報告書（歯科診療所及びⅡを算定する有床診療所）'!$AB$149</f>
        <v>-350000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新規届出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f>様式97_入院ベースアップ評価料!$I$84-A4</f>
        <v>56.533333333333331</v>
      </c>
      <c r="G4" s="29">
        <f>様式97_入院ベースアップ評価料!$I$84-B4</f>
        <v>55.033333333333331</v>
      </c>
      <c r="H4" s="29">
        <f>F4*G4</f>
        <v>3111.2177777777774</v>
      </c>
      <c r="I4" s="29" t="str">
        <f>IF(様式97_入院ベースアップ評価料!$I$84=B4,"",IF(H4&lt;=0,"該当",""))</f>
        <v/>
      </c>
      <c r="J4" s="29" t="str">
        <f>IF(B4&gt;様式97_入院ベースアップ評価料!$V$84,"該当","")</f>
        <v/>
      </c>
      <c r="K4" s="29" t="s">
        <v>1279</v>
      </c>
    </row>
    <row r="5" spans="1:11">
      <c r="A5" s="29">
        <v>1.5</v>
      </c>
      <c r="B5" s="29">
        <v>2.5</v>
      </c>
      <c r="C5" s="29" t="s">
        <v>1280</v>
      </c>
      <c r="D5" s="29">
        <v>2</v>
      </c>
      <c r="F5" s="29">
        <f>様式97_入院ベースアップ評価料!$I$84-A5</f>
        <v>55.033333333333331</v>
      </c>
      <c r="G5" s="29">
        <f>様式97_入院ベースアップ評価料!$I$84-B5</f>
        <v>54.033333333333331</v>
      </c>
      <c r="H5" s="29">
        <f t="shared" ref="H5:H35" si="0">F5*G5</f>
        <v>2973.6344444444444</v>
      </c>
      <c r="I5" s="29" t="str">
        <f>IF(様式97_入院ベースアップ評価料!$I$84=B5,"",IF(H5&lt;=0,"該当",""))</f>
        <v/>
      </c>
      <c r="J5" s="29" t="str">
        <f>IF(AND(A5&lt;=様式97_入院ベースアップ評価料!$V$84,様式97_入院ベースアップ評価料!$V$84&lt;'リスト（入院）'!B5),"該当","")</f>
        <v/>
      </c>
      <c r="K5" s="29" t="s">
        <v>1280</v>
      </c>
    </row>
    <row r="6" spans="1:11">
      <c r="A6" s="29">
        <v>2.5</v>
      </c>
      <c r="B6" s="29">
        <v>3.5</v>
      </c>
      <c r="C6" s="29" t="s">
        <v>1281</v>
      </c>
      <c r="D6" s="29">
        <v>3</v>
      </c>
      <c r="F6" s="29">
        <f>様式97_入院ベースアップ評価料!$I$84-A6</f>
        <v>54.033333333333331</v>
      </c>
      <c r="G6" s="29">
        <f>様式97_入院ベースアップ評価料!$I$84-B6</f>
        <v>53.033333333333331</v>
      </c>
      <c r="H6" s="29">
        <f t="shared" si="0"/>
        <v>2865.5677777777778</v>
      </c>
      <c r="I6" s="29" t="str">
        <f>IF(様式97_入院ベースアップ評価料!$I$84=B6,"",IF(H6&lt;=0,"該当",""))</f>
        <v/>
      </c>
      <c r="J6" s="29" t="str">
        <f>IF(AND(A6&lt;=様式97_入院ベースアップ評価料!$V$84,様式97_入院ベースアップ評価料!$V$84&lt;'リスト（入院）'!B6),"該当","")</f>
        <v/>
      </c>
      <c r="K6" s="29" t="s">
        <v>1281</v>
      </c>
    </row>
    <row r="7" spans="1:11">
      <c r="A7" s="29">
        <v>3.5</v>
      </c>
      <c r="B7" s="29">
        <v>4.5</v>
      </c>
      <c r="C7" s="29" t="s">
        <v>1282</v>
      </c>
      <c r="D7" s="29">
        <v>4</v>
      </c>
      <c r="F7" s="29">
        <f>様式97_入院ベースアップ評価料!$I$84-A7</f>
        <v>53.033333333333331</v>
      </c>
      <c r="G7" s="29">
        <f>様式97_入院ベースアップ評価料!$I$84-B7</f>
        <v>52.033333333333331</v>
      </c>
      <c r="H7" s="29">
        <f t="shared" si="0"/>
        <v>2759.5011111111107</v>
      </c>
      <c r="I7" s="29" t="str">
        <f>IF(様式97_入院ベースアップ評価料!$I$84=B7,"",IF(H7&lt;=0,"該当",""))</f>
        <v/>
      </c>
      <c r="J7" s="29" t="str">
        <f>IF(AND(A7&lt;=様式97_入院ベースアップ評価料!$V$84,様式97_入院ベースアップ評価料!$V$84&lt;'リスト（入院）'!B7),"該当","")</f>
        <v/>
      </c>
      <c r="K7" s="29" t="s">
        <v>1282</v>
      </c>
    </row>
    <row r="8" spans="1:11">
      <c r="A8" s="29">
        <v>4.5</v>
      </c>
      <c r="B8" s="29">
        <v>5.5</v>
      </c>
      <c r="C8" s="29" t="s">
        <v>1283</v>
      </c>
      <c r="D8" s="29">
        <v>5</v>
      </c>
      <c r="F8" s="29">
        <f>様式97_入院ベースアップ評価料!$I$84-A8</f>
        <v>52.033333333333331</v>
      </c>
      <c r="G8" s="29">
        <f>様式97_入院ベースアップ評価料!$I$84-B8</f>
        <v>51.033333333333331</v>
      </c>
      <c r="H8" s="29">
        <f t="shared" si="0"/>
        <v>2655.4344444444441</v>
      </c>
      <c r="I8" s="29" t="str">
        <f>IF(様式97_入院ベースアップ評価料!$I$84=B8,"",IF(H8&lt;=0,"該当",""))</f>
        <v/>
      </c>
      <c r="J8" s="29" t="str">
        <f>IF(AND(A8&lt;=様式97_入院ベースアップ評価料!$V$84,様式97_入院ベースアップ評価料!$V$84&lt;'リスト（入院）'!B8),"該当","")</f>
        <v/>
      </c>
      <c r="K8" s="29" t="s">
        <v>1283</v>
      </c>
    </row>
    <row r="9" spans="1:11">
      <c r="A9" s="29">
        <v>5.5</v>
      </c>
      <c r="B9" s="29">
        <v>6.5</v>
      </c>
      <c r="C9" s="29" t="s">
        <v>1284</v>
      </c>
      <c r="D9" s="29">
        <v>6</v>
      </c>
      <c r="F9" s="29">
        <f>様式97_入院ベースアップ評価料!$I$84-A9</f>
        <v>51.033333333333331</v>
      </c>
      <c r="G9" s="29">
        <f>様式97_入院ベースアップ評価料!$I$84-B9</f>
        <v>50.033333333333331</v>
      </c>
      <c r="H9" s="29">
        <f t="shared" si="0"/>
        <v>2553.3677777777775</v>
      </c>
      <c r="I9" s="29" t="str">
        <f>IF(様式97_入院ベースアップ評価料!$I$84=B9,"",IF(H9&lt;=0,"該当",""))</f>
        <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f>様式97_入院ベースアップ評価料!$I$84-A10</f>
        <v>50.033333333333331</v>
      </c>
      <c r="G10" s="29">
        <f>様式97_入院ベースアップ評価料!$I$84-B10</f>
        <v>49.033333333333331</v>
      </c>
      <c r="H10" s="29">
        <f t="shared" si="0"/>
        <v>2453.3011111111109</v>
      </c>
      <c r="I10" s="29" t="str">
        <f>IF(様式97_入院ベースアップ評価料!$I$84=B10,"",IF(H10&lt;=0,"該当",""))</f>
        <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f>様式97_入院ベースアップ評価料!$I$84-A11</f>
        <v>49.033333333333331</v>
      </c>
      <c r="G11" s="29">
        <f>様式97_入院ベースアップ評価料!$I$84-B11</f>
        <v>48.033333333333331</v>
      </c>
      <c r="H11" s="29">
        <f t="shared" si="0"/>
        <v>2355.2344444444443</v>
      </c>
      <c r="I11" s="29" t="str">
        <f>IF(様式97_入院ベースアップ評価料!$I$84=B11,"",IF(H11&lt;=0,"該当",""))</f>
        <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f>様式97_入院ベースアップ評価料!$I$84-A12</f>
        <v>48.033333333333331</v>
      </c>
      <c r="G12" s="29">
        <f>様式97_入院ベースアップ評価料!$I$84-B12</f>
        <v>47.033333333333331</v>
      </c>
      <c r="H12" s="29">
        <f t="shared" si="0"/>
        <v>2259.1677777777777</v>
      </c>
      <c r="I12" s="29" t="str">
        <f>IF(様式97_入院ベースアップ評価料!$I$84=B12,"",IF(H12&lt;=0,"該当",""))</f>
        <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f>様式97_入院ベースアップ評価料!$I$84-A13</f>
        <v>47.033333333333331</v>
      </c>
      <c r="G13" s="29">
        <f>様式97_入院ベースアップ評価料!$I$84-B13</f>
        <v>46.033333333333331</v>
      </c>
      <c r="H13" s="29">
        <f t="shared" si="0"/>
        <v>2165.1011111111111</v>
      </c>
      <c r="I13" s="29" t="str">
        <f>IF(様式97_入院ベースアップ評価料!$I$84=B13,"",IF(H13&lt;=0,"該当",""))</f>
        <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f>様式97_入院ベースアップ評価料!$I$84-A14</f>
        <v>46.033333333333331</v>
      </c>
      <c r="G14" s="29">
        <f>様式97_入院ベースアップ評価料!$I$84-B14</f>
        <v>45.033333333333331</v>
      </c>
      <c r="H14" s="29">
        <f t="shared" si="0"/>
        <v>2073.0344444444445</v>
      </c>
      <c r="I14" s="29" t="str">
        <f>IF(様式97_入院ベースアップ評価料!$I$84=B14,"",IF(H14&lt;=0,"該当",""))</f>
        <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f>様式97_入院ベースアップ評価料!$I$84-A15</f>
        <v>45.033333333333331</v>
      </c>
      <c r="G15" s="29">
        <f>様式97_入院ベースアップ評価料!$I$84-B15</f>
        <v>44.033333333333331</v>
      </c>
      <c r="H15" s="29">
        <f t="shared" si="0"/>
        <v>1982.9677777777777</v>
      </c>
      <c r="I15" s="29" t="str">
        <f>IF(様式97_入院ベースアップ評価料!$I$84=B15,"",IF(H15&lt;=0,"該当",""))</f>
        <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f>様式97_入院ベースアップ評価料!$I$84-A16</f>
        <v>44.033333333333331</v>
      </c>
      <c r="G16" s="29">
        <f>様式97_入院ベースアップ評価料!$I$84-B16</f>
        <v>43.033333333333331</v>
      </c>
      <c r="H16" s="29">
        <f t="shared" si="0"/>
        <v>1894.901111111111</v>
      </c>
      <c r="I16" s="29" t="str">
        <f>IF(様式97_入院ベースアップ評価料!$I$84=B16,"",IF(H16&lt;=0,"該当",""))</f>
        <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f>様式97_入院ベースアップ評価料!$I$84-A17</f>
        <v>43.033333333333331</v>
      </c>
      <c r="G17" s="29">
        <f>様式97_入院ベースアップ評価料!$I$84-B17</f>
        <v>42.033333333333331</v>
      </c>
      <c r="H17" s="29">
        <f t="shared" si="0"/>
        <v>1808.8344444444442</v>
      </c>
      <c r="I17" s="29" t="str">
        <f>IF(様式97_入院ベースアップ評価料!$I$84=B17,"",IF(H17&lt;=0,"該当",""))</f>
        <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f>様式97_入院ベースアップ評価料!$I$84-A18</f>
        <v>42.033333333333331</v>
      </c>
      <c r="G18" s="29">
        <f>様式97_入院ベースアップ評価料!$I$84-B18</f>
        <v>41.033333333333331</v>
      </c>
      <c r="H18" s="29">
        <f t="shared" si="0"/>
        <v>1724.7677777777776</v>
      </c>
      <c r="I18" s="29" t="str">
        <f>IF(様式97_入院ベースアップ評価料!$I$84=B18,"",IF(H18&lt;=0,"該当",""))</f>
        <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f>様式97_入院ベースアップ評価料!$I$84-A19</f>
        <v>41.033333333333331</v>
      </c>
      <c r="G19" s="29">
        <f>様式97_入院ベースアップ評価料!$I$84-B19</f>
        <v>40.033333333333331</v>
      </c>
      <c r="H19" s="29">
        <f t="shared" si="0"/>
        <v>1642.701111111111</v>
      </c>
      <c r="I19" s="29" t="str">
        <f>IF(様式97_入院ベースアップ評価料!$I$84=B19,"",IF(H19&lt;=0,"該当",""))</f>
        <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f>様式97_入院ベースアップ評価料!$I$84-A20</f>
        <v>40.033333333333331</v>
      </c>
      <c r="G20" s="29">
        <f>様式97_入院ベースアップ評価料!$I$84-B20</f>
        <v>39.033333333333331</v>
      </c>
      <c r="H20" s="29">
        <f t="shared" si="0"/>
        <v>1562.6344444444444</v>
      </c>
      <c r="I20" s="29" t="str">
        <f>IF(様式97_入院ベースアップ評価料!$I$84=B20,"",IF(H20&lt;=0,"該当",""))</f>
        <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f>様式97_入院ベースアップ評価料!$I$84-A21</f>
        <v>39.033333333333331</v>
      </c>
      <c r="G21" s="29">
        <f>様式97_入院ベースアップ評価料!$I$84-B21</f>
        <v>38.033333333333331</v>
      </c>
      <c r="H21" s="29">
        <f t="shared" si="0"/>
        <v>1484.5677777777776</v>
      </c>
      <c r="I21" s="29" t="str">
        <f>IF(様式97_入院ベースアップ評価料!$I$84=B21,"",IF(H21&lt;=0,"該当",""))</f>
        <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f>様式97_入院ベースアップ評価料!$I$84-A22</f>
        <v>38.033333333333331</v>
      </c>
      <c r="G22" s="29">
        <f>様式97_入院ベースアップ評価料!$I$84-B22</f>
        <v>37.033333333333331</v>
      </c>
      <c r="H22" s="29">
        <f t="shared" si="0"/>
        <v>1408.501111111111</v>
      </c>
      <c r="I22" s="29" t="str">
        <f>IF(様式97_入院ベースアップ評価料!$I$84=B22,"",IF(H22&lt;=0,"該当",""))</f>
        <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f>様式97_入院ベースアップ評価料!$I$84-A23</f>
        <v>37.033333333333331</v>
      </c>
      <c r="G23" s="29">
        <f>様式97_入院ベースアップ評価料!$I$84-B23</f>
        <v>36.033333333333331</v>
      </c>
      <c r="H23" s="29">
        <f t="shared" si="0"/>
        <v>1334.4344444444444</v>
      </c>
      <c r="I23" s="29" t="str">
        <f>IF(様式97_入院ベースアップ評価料!$I$84=B23,"",IF(H23&lt;=0,"該当",""))</f>
        <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f>様式97_入院ベースアップ評価料!$I$84-A24</f>
        <v>36.033333333333331</v>
      </c>
      <c r="G24" s="29">
        <f>様式97_入院ベースアップ評価料!$I$84-B24</f>
        <v>35.033333333333331</v>
      </c>
      <c r="H24" s="29">
        <f t="shared" si="0"/>
        <v>1262.3677777777777</v>
      </c>
      <c r="I24" s="29" t="str">
        <f>IF(様式97_入院ベースアップ評価料!$I$84=B24,"",IF(H24&lt;=0,"該当",""))</f>
        <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f>様式97_入院ベースアップ評価料!$I$84-A25</f>
        <v>35.033333333333331</v>
      </c>
      <c r="G25" s="29">
        <f>様式97_入院ベースアップ評価料!$I$84-B25</f>
        <v>34.033333333333331</v>
      </c>
      <c r="H25" s="29">
        <f t="shared" si="0"/>
        <v>1192.3011111111109</v>
      </c>
      <c r="I25" s="29" t="str">
        <f>IF(様式97_入院ベースアップ評価料!$I$84=B25,"",IF(H25&lt;=0,"該当",""))</f>
        <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f>様式97_入院ベースアップ評価料!$I$84-A26</f>
        <v>34.033333333333331</v>
      </c>
      <c r="G26" s="29">
        <f>様式97_入院ベースアップ評価料!$I$84-B26</f>
        <v>33.033333333333331</v>
      </c>
      <c r="H26" s="29">
        <f t="shared" si="0"/>
        <v>1124.2344444444443</v>
      </c>
      <c r="I26" s="29" t="str">
        <f>IF(様式97_入院ベースアップ評価料!$I$84=B26,"",IF(H26&lt;=0,"該当",""))</f>
        <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f>様式97_入院ベースアップ評価料!$I$84-A27</f>
        <v>33.033333333333331</v>
      </c>
      <c r="G27" s="29">
        <f>様式97_入院ベースアップ評価料!$I$84-B27</f>
        <v>32.033333333333331</v>
      </c>
      <c r="H27" s="29">
        <f t="shared" si="0"/>
        <v>1058.1677777777777</v>
      </c>
      <c r="I27" s="29" t="str">
        <f>IF(様式97_入院ベースアップ評価料!$I$84=B27,"",IF(H27&lt;=0,"該当",""))</f>
        <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f>様式97_入院ベースアップ評価料!$I$84-A28</f>
        <v>32.033333333333331</v>
      </c>
      <c r="G28" s="29">
        <f>様式97_入院ベースアップ評価料!$I$84-B28</f>
        <v>31.033333333333331</v>
      </c>
      <c r="H28" s="29">
        <f t="shared" si="0"/>
        <v>994.10111111111098</v>
      </c>
      <c r="I28" s="29" t="str">
        <f>IF(様式97_入院ベースアップ評価料!$I$84=B28,"",IF(H28&lt;=0,"該当",""))</f>
        <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f>様式97_入院ベースアップ評価料!$I$84-A29</f>
        <v>31.033333333333331</v>
      </c>
      <c r="G29" s="29">
        <f>様式97_入院ベースアップ評価料!$I$84-B29</f>
        <v>30.033333333333331</v>
      </c>
      <c r="H29" s="29">
        <f t="shared" si="0"/>
        <v>932.03444444444438</v>
      </c>
      <c r="I29" s="29" t="str">
        <f>IF(様式97_入院ベースアップ評価料!$I$84=B29,"",IF(H29&lt;=0,"該当",""))</f>
        <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f>様式97_入院ベースアップ評価料!$I$84-A30</f>
        <v>30.033333333333331</v>
      </c>
      <c r="G30" s="29">
        <f>様式97_入院ベースアップ評価料!$I$84-B30</f>
        <v>29.033333333333331</v>
      </c>
      <c r="H30" s="29">
        <f t="shared" si="0"/>
        <v>871.96777777777766</v>
      </c>
      <c r="I30" s="29" t="str">
        <f>IF(様式97_入院ベースアップ評価料!$I$84=B30,"",IF(H30&lt;=0,"該当",""))</f>
        <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f>様式97_入院ベースアップ評価料!$I$84-A31</f>
        <v>29.033333333333331</v>
      </c>
      <c r="G31" s="29">
        <f>様式97_入院ベースアップ評価料!$I$84-B31</f>
        <v>28.033333333333331</v>
      </c>
      <c r="H31" s="29">
        <f t="shared" si="0"/>
        <v>813.90111111111105</v>
      </c>
      <c r="I31" s="29" t="str">
        <f>IF(様式97_入院ベースアップ評価料!$I$84=B31,"",IF(H31&lt;=0,"該当",""))</f>
        <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f>様式97_入院ベースアップ評価料!$I$84-A32</f>
        <v>28.033333333333331</v>
      </c>
      <c r="G32" s="29">
        <f>様式97_入院ベースアップ評価料!$I$84-B32</f>
        <v>27.033333333333331</v>
      </c>
      <c r="H32" s="29">
        <f t="shared" si="0"/>
        <v>757.83444444444433</v>
      </c>
      <c r="I32" s="29" t="str">
        <f>IF(様式97_入院ベースアップ評価料!$I$84=B32,"",IF(H32&lt;=0,"該当",""))</f>
        <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f>様式97_入院ベースアップ評価料!$I$84-A33</f>
        <v>27.033333333333331</v>
      </c>
      <c r="G33" s="29">
        <f>様式97_入院ベースアップ評価料!$I$84-B33</f>
        <v>26.033333333333331</v>
      </c>
      <c r="H33" s="29">
        <f t="shared" si="0"/>
        <v>703.76777777777772</v>
      </c>
      <c r="I33" s="29" t="str">
        <f>IF(様式97_入院ベースアップ評価料!$I$84=B33,"",IF(H33&lt;=0,"該当",""))</f>
        <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f>様式97_入院ベースアップ評価料!$I$84-A34</f>
        <v>26.033333333333331</v>
      </c>
      <c r="G34" s="29">
        <f>様式97_入院ベースアップ評価料!$I$84-B34</f>
        <v>25.033333333333331</v>
      </c>
      <c r="H34" s="29">
        <f t="shared" si="0"/>
        <v>651.701111111111</v>
      </c>
      <c r="I34" s="29" t="str">
        <f>IF(様式97_入院ベースアップ評価料!$I$84=B34,"",IF(H34&lt;=0,"該当",""))</f>
        <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f>様式97_入院ベースアップ評価料!$I$84-A35</f>
        <v>25.033333333333331</v>
      </c>
      <c r="G35" s="29">
        <f>様式97_入院ベースアップ評価料!$I$84-B35</f>
        <v>24.033333333333331</v>
      </c>
      <c r="H35" s="29">
        <f t="shared" si="0"/>
        <v>601.6344444444444</v>
      </c>
      <c r="I35" s="29" t="str">
        <f>IF(様式97_入院ベースアップ評価料!$I$84=B35,"",IF(H35&lt;=0,"該当",""))</f>
        <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f>様式97_入院ベースアップ評価料!$I$84-A36</f>
        <v>24.033333333333331</v>
      </c>
      <c r="G36" s="29">
        <f>様式97_入院ベースアップ評価料!$I$84-B36</f>
        <v>23.033333333333331</v>
      </c>
      <c r="H36" s="29">
        <f t="shared" ref="H36:H67" si="1">F36*G36</f>
        <v>553.56777777777768</v>
      </c>
      <c r="I36" s="29" t="str">
        <f>IF(様式97_入院ベースアップ評価料!$I$84=B36,"",IF(H36&lt;=0,"該当",""))</f>
        <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f>様式97_入院ベースアップ評価料!$I$84-A37</f>
        <v>23.033333333333331</v>
      </c>
      <c r="G37" s="29">
        <f>様式97_入院ベースアップ評価料!$I$84-B37</f>
        <v>22.033333333333331</v>
      </c>
      <c r="H37" s="29">
        <f t="shared" si="1"/>
        <v>507.50111111111102</v>
      </c>
      <c r="I37" s="29" t="str">
        <f>IF(様式97_入院ベースアップ評価料!$I$84=B37,"",IF(H37&lt;=0,"該当",""))</f>
        <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f>様式97_入院ベースアップ評価料!$I$84-A38</f>
        <v>22.033333333333331</v>
      </c>
      <c r="G38" s="29">
        <f>様式97_入院ベースアップ評価料!$I$84-B38</f>
        <v>21.033333333333331</v>
      </c>
      <c r="H38" s="29">
        <f t="shared" si="1"/>
        <v>463.43444444444435</v>
      </c>
      <c r="I38" s="29" t="str">
        <f>IF(様式97_入院ベースアップ評価料!$I$84=B38,"",IF(H38&lt;=0,"該当",""))</f>
        <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f>様式97_入院ベースアップ評価料!$I$84-A39</f>
        <v>21.033333333333331</v>
      </c>
      <c r="G39" s="29">
        <f>様式97_入院ベースアップ評価料!$I$84-B39</f>
        <v>20.033333333333331</v>
      </c>
      <c r="H39" s="29">
        <f t="shared" si="1"/>
        <v>421.36777777777769</v>
      </c>
      <c r="I39" s="29" t="str">
        <f>IF(様式97_入院ベースアップ評価料!$I$84=B39,"",IF(H39&lt;=0,"該当",""))</f>
        <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f>様式97_入院ベースアップ評価料!$I$84-A40</f>
        <v>20.033333333333331</v>
      </c>
      <c r="G40" s="29">
        <f>様式97_入院ベースアップ評価料!$I$84-B40</f>
        <v>19.033333333333331</v>
      </c>
      <c r="H40" s="29">
        <f t="shared" si="1"/>
        <v>381.30111111111103</v>
      </c>
      <c r="I40" s="29" t="str">
        <f>IF(様式97_入院ベースアップ評価料!$I$84=B40,"",IF(H40&lt;=0,"該当",""))</f>
        <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f>様式97_入院ベースアップ評価料!$I$84-A41</f>
        <v>19.033333333333331</v>
      </c>
      <c r="G41" s="29">
        <f>様式97_入院ベースアップ評価料!$I$84-B41</f>
        <v>18.033333333333331</v>
      </c>
      <c r="H41" s="29">
        <f t="shared" si="1"/>
        <v>343.23444444444436</v>
      </c>
      <c r="I41" s="29" t="str">
        <f>IF(様式97_入院ベースアップ評価料!$I$84=B41,"",IF(H41&lt;=0,"該当",""))</f>
        <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f>様式97_入院ベースアップ評価料!$I$84-A42</f>
        <v>18.033333333333331</v>
      </c>
      <c r="G42" s="29">
        <f>様式97_入院ベースアップ評価料!$I$84-B42</f>
        <v>17.033333333333331</v>
      </c>
      <c r="H42" s="29">
        <f t="shared" si="1"/>
        <v>307.1677777777777</v>
      </c>
      <c r="I42" s="29" t="str">
        <f>IF(様式97_入院ベースアップ評価料!$I$84=B42,"",IF(H42&lt;=0,"該当",""))</f>
        <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f>様式97_入院ベースアップ評価料!$I$84-A43</f>
        <v>17.033333333333331</v>
      </c>
      <c r="G43" s="29">
        <f>様式97_入院ベースアップ評価料!$I$84-B43</f>
        <v>16.033333333333331</v>
      </c>
      <c r="H43" s="29">
        <f t="shared" si="1"/>
        <v>273.10111111111104</v>
      </c>
      <c r="I43" s="29" t="str">
        <f>IF(様式97_入院ベースアップ評価料!$I$84=B43,"",IF(H43&lt;=0,"該当",""))</f>
        <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f>様式97_入院ベースアップ評価料!$I$84-A44</f>
        <v>16.033333333333331</v>
      </c>
      <c r="G44" s="29">
        <f>様式97_入院ベースアップ評価料!$I$84-B44</f>
        <v>15.033333333333331</v>
      </c>
      <c r="H44" s="29">
        <f t="shared" si="1"/>
        <v>241.03444444444438</v>
      </c>
      <c r="I44" s="29" t="str">
        <f>IF(様式97_入院ベースアップ評価料!$I$84=B44,"",IF(H44&lt;=0,"該当",""))</f>
        <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f>様式97_入院ベースアップ評価料!$I$84-A45</f>
        <v>15.033333333333331</v>
      </c>
      <c r="G45" s="29">
        <f>様式97_入院ベースアップ評価料!$I$84-B45</f>
        <v>14.033333333333331</v>
      </c>
      <c r="H45" s="29">
        <f t="shared" si="1"/>
        <v>210.96777777777771</v>
      </c>
      <c r="I45" s="29" t="str">
        <f>IF(様式97_入院ベースアップ評価料!$I$84=B45,"",IF(H45&lt;=0,"該当",""))</f>
        <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f>様式97_入院ベースアップ評価料!$I$84-A46</f>
        <v>14.033333333333331</v>
      </c>
      <c r="G46" s="29">
        <f>様式97_入院ベースアップ評価料!$I$84-B46</f>
        <v>13.033333333333331</v>
      </c>
      <c r="H46" s="29">
        <f t="shared" si="1"/>
        <v>182.90111111111105</v>
      </c>
      <c r="I46" s="29" t="str">
        <f>IF(様式97_入院ベースアップ評価料!$I$84=B46,"",IF(H46&lt;=0,"該当",""))</f>
        <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f>様式97_入院ベースアップ評価料!$I$84-A47</f>
        <v>13.033333333333331</v>
      </c>
      <c r="G47" s="29">
        <f>様式97_入院ベースアップ評価料!$I$84-B47</f>
        <v>12.033333333333331</v>
      </c>
      <c r="H47" s="29">
        <f t="shared" si="1"/>
        <v>156.83444444444439</v>
      </c>
      <c r="I47" s="29" t="str">
        <f>IF(様式97_入院ベースアップ評価料!$I$84=B47,"",IF(H47&lt;=0,"該当",""))</f>
        <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f>様式97_入院ベースアップ評価料!$I$84-A48</f>
        <v>12.033333333333331</v>
      </c>
      <c r="G48" s="29">
        <f>様式97_入院ベースアップ評価料!$I$84-B48</f>
        <v>11.033333333333331</v>
      </c>
      <c r="H48" s="29">
        <f t="shared" si="1"/>
        <v>132.76777777777772</v>
      </c>
      <c r="I48" s="29" t="str">
        <f>IF(様式97_入院ベースアップ評価料!$I$84=B48,"",IF(H48&lt;=0,"該当",""))</f>
        <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f>様式97_入院ベースアップ評価料!$I$84-A49</f>
        <v>11.033333333333331</v>
      </c>
      <c r="G49" s="29">
        <f>様式97_入院ベースアップ評価料!$I$84-B49</f>
        <v>10.033333333333331</v>
      </c>
      <c r="H49" s="29">
        <f t="shared" si="1"/>
        <v>110.70111111111108</v>
      </c>
      <c r="I49" s="29" t="str">
        <f>IF(様式97_入院ベースアップ評価料!$I$84=B49,"",IF(H49&lt;=0,"該当",""))</f>
        <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f>様式97_入院ベースアップ評価料!$I$84-A50</f>
        <v>10.033333333333331</v>
      </c>
      <c r="G50" s="29">
        <f>様式97_入院ベースアップ評価料!$I$84-B50</f>
        <v>9.0333333333333314</v>
      </c>
      <c r="H50" s="29">
        <f t="shared" si="1"/>
        <v>90.634444444444412</v>
      </c>
      <c r="I50" s="29" t="str">
        <f>IF(様式97_入院ベースアップ評価料!$I$84=B50,"",IF(H50&lt;=0,"該当",""))</f>
        <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f>様式97_入院ベースアップ評価料!$I$84-A51</f>
        <v>9.0333333333333314</v>
      </c>
      <c r="G51" s="29">
        <f>様式97_入院ベースアップ評価料!$I$84-B51</f>
        <v>8.0333333333333314</v>
      </c>
      <c r="H51" s="29">
        <f t="shared" si="1"/>
        <v>72.567777777777749</v>
      </c>
      <c r="I51" s="29" t="str">
        <f>IF(様式97_入院ベースアップ評価料!$I$84=B51,"",IF(H51&lt;=0,"該当",""))</f>
        <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f>様式97_入院ベースアップ評価料!$I$84-A52</f>
        <v>8.0333333333333314</v>
      </c>
      <c r="G52" s="29">
        <f>様式97_入院ベースアップ評価料!$I$84-B52</f>
        <v>7.0333333333333314</v>
      </c>
      <c r="H52" s="29">
        <f t="shared" si="1"/>
        <v>56.501111111111079</v>
      </c>
      <c r="I52" s="29" t="str">
        <f>IF(様式97_入院ベースアップ評価料!$I$84=B52,"",IF(H52&lt;=0,"該当",""))</f>
        <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f>様式97_入院ベースアップ評価料!$I$84-A53</f>
        <v>7.0333333333333314</v>
      </c>
      <c r="G53" s="29">
        <f>様式97_入院ベースアップ評価料!$I$84-B53</f>
        <v>6.0333333333333314</v>
      </c>
      <c r="H53" s="29">
        <f t="shared" si="1"/>
        <v>42.434444444444416</v>
      </c>
      <c r="I53" s="29" t="str">
        <f>IF(様式97_入院ベースアップ評価料!$I$84=B53,"",IF(H53&lt;=0,"該当",""))</f>
        <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f>様式97_入院ベースアップ評価料!$I$84-A54</f>
        <v>6.0333333333333314</v>
      </c>
      <c r="G54" s="29">
        <f>様式97_入院ベースアップ評価料!$I$84-B54</f>
        <v>5.0333333333333314</v>
      </c>
      <c r="H54" s="29">
        <f t="shared" si="1"/>
        <v>30.367777777777757</v>
      </c>
      <c r="I54" s="29" t="str">
        <f>IF(様式97_入院ベースアップ評価料!$I$84=B54,"",IF(H54&lt;=0,"該当",""))</f>
        <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f>様式97_入院ベースアップ評価料!$I$84-A55</f>
        <v>5.0333333333333314</v>
      </c>
      <c r="G55" s="29">
        <f>様式97_入院ベースアップ評価料!$I$84-B55</f>
        <v>4.0333333333333314</v>
      </c>
      <c r="H55" s="29">
        <f t="shared" si="1"/>
        <v>20.301111111111094</v>
      </c>
      <c r="I55" s="29" t="str">
        <f>IF(様式97_入院ベースアップ評価料!$I$84=B55,"",IF(H55&lt;=0,"該当",""))</f>
        <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f>様式97_入院ベースアップ評価料!$I$84-A56</f>
        <v>4.0333333333333314</v>
      </c>
      <c r="G56" s="29">
        <f>様式97_入院ベースアップ評価料!$I$84-B56</f>
        <v>3.0333333333333314</v>
      </c>
      <c r="H56" s="29">
        <f t="shared" si="1"/>
        <v>12.234444444444431</v>
      </c>
      <c r="I56" s="29" t="str">
        <f>IF(様式97_入院ベースアップ評価料!$I$84=B56,"",IF(H56&lt;=0,"該当",""))</f>
        <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f>様式97_入院ベースアップ評価料!$I$84-A57</f>
        <v>3.0333333333333314</v>
      </c>
      <c r="G57" s="29">
        <f>様式97_入院ベースアップ評価料!$I$84-B57</f>
        <v>2.0333333333333314</v>
      </c>
      <c r="H57" s="29">
        <f t="shared" si="1"/>
        <v>6.1677777777777685</v>
      </c>
      <c r="I57" s="29" t="str">
        <f>IF(様式97_入院ベースアップ評価料!$I$84=B57,"",IF(H57&lt;=0,"該当",""))</f>
        <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f>様式97_入院ベースアップ評価料!$I$84-A58</f>
        <v>2.0333333333333314</v>
      </c>
      <c r="G58" s="29">
        <f>様式97_入院ベースアップ評価料!$I$84-B58</f>
        <v>1.0333333333333314</v>
      </c>
      <c r="H58" s="29">
        <f t="shared" si="1"/>
        <v>2.1011111111111052</v>
      </c>
      <c r="I58" s="29" t="str">
        <f>IF(様式97_入院ベースアップ評価料!$I$84=B58,"",IF(H58&lt;=0,"該当",""))</f>
        <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f>様式97_入院ベースアップ評価料!$I$84-A59</f>
        <v>1.0333333333333314</v>
      </c>
      <c r="G59" s="29">
        <f>様式97_入院ベースアップ評価料!$I$84-B59</f>
        <v>3.3333333333331439E-2</v>
      </c>
      <c r="H59" s="29">
        <f t="shared" si="1"/>
        <v>3.4444444444442425E-2</v>
      </c>
      <c r="I59" s="29" t="str">
        <f>IF(様式97_入院ベースアップ評価料!$I$84=B59,"",IF(H59&lt;=0,"該当",""))</f>
        <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f>様式97_入院ベースアップ評価料!$I$84-A60</f>
        <v>3.3333333333331439E-2</v>
      </c>
      <c r="G60" s="29">
        <f>様式97_入院ベースアップ評価料!$I$84-B60</f>
        <v>-0.96666666666666856</v>
      </c>
      <c r="H60" s="29">
        <f t="shared" si="1"/>
        <v>-3.2222222222220452E-2</v>
      </c>
      <c r="I60" s="29" t="str">
        <f>IF(様式97_入院ベースアップ評価料!$I$84=B60,"",IF(H60&lt;=0,"該当",""))</f>
        <v>該当</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f>様式97_入院ベースアップ評価料!$I$84-A61</f>
        <v>-0.96666666666666856</v>
      </c>
      <c r="G61" s="29">
        <f>様式97_入院ベースアップ評価料!$I$84-B61</f>
        <v>-1.9666666666666686</v>
      </c>
      <c r="H61" s="29">
        <f t="shared" si="1"/>
        <v>1.9011111111111167</v>
      </c>
      <c r="I61" s="29" t="str">
        <f>IF(様式97_入院ベースアップ評価料!$I$84=B61,"",IF(H61&lt;=0,"該当",""))</f>
        <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f>様式97_入院ベースアップ評価料!$I$84-A62</f>
        <v>-1.9666666666666686</v>
      </c>
      <c r="G62" s="29">
        <f>様式97_入院ベースアップ評価料!$I$84-B62</f>
        <v>-2.9666666666666686</v>
      </c>
      <c r="H62" s="29">
        <f t="shared" si="1"/>
        <v>5.8344444444444541</v>
      </c>
      <c r="I62" s="29" t="str">
        <f>IF(様式97_入院ベースアップ評価料!$I$84=B62,"",IF(H62&lt;=0,"該当",""))</f>
        <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f>様式97_入院ベースアップ評価料!$I$84-A63</f>
        <v>-2.9666666666666686</v>
      </c>
      <c r="G63" s="29">
        <f>様式97_入院ベースアップ評価料!$I$84-B63</f>
        <v>-3.9666666666666686</v>
      </c>
      <c r="H63" s="29">
        <f t="shared" si="1"/>
        <v>11.767777777777791</v>
      </c>
      <c r="I63" s="29" t="str">
        <f>IF(様式97_入院ベースアップ評価料!$I$84=B63,"",IF(H63&lt;=0,"該当",""))</f>
        <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f>様式97_入院ベースアップ評価料!$I$84-A64</f>
        <v>-3.9666666666666686</v>
      </c>
      <c r="G64" s="29">
        <f>様式97_入院ベースアップ評価料!$I$84-B64</f>
        <v>-4.9666666666666686</v>
      </c>
      <c r="H64" s="29">
        <f t="shared" si="1"/>
        <v>19.701111111111128</v>
      </c>
      <c r="I64" s="29" t="str">
        <f>IF(様式97_入院ベースアップ評価料!$I$84=B64,"",IF(H64&lt;=0,"該当",""))</f>
        <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f>様式97_入院ベースアップ評価料!$I$84-A65</f>
        <v>-4.9666666666666686</v>
      </c>
      <c r="G65" s="29">
        <f>様式97_入院ベースアップ評価料!$I$84-B65</f>
        <v>-5.9666666666666686</v>
      </c>
      <c r="H65" s="29">
        <f t="shared" si="1"/>
        <v>29.634444444444465</v>
      </c>
      <c r="I65" s="29" t="str">
        <f>IF(様式97_入院ベースアップ評価料!$I$84=B65,"",IF(H65&lt;=0,"該当",""))</f>
        <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f>様式97_入院ベースアップ評価料!$I$84-A66</f>
        <v>-5.9666666666666686</v>
      </c>
      <c r="G66" s="29">
        <f>様式97_入院ベースアップ評価料!$I$84-B66</f>
        <v>-6.9666666666666686</v>
      </c>
      <c r="H66" s="29">
        <f t="shared" si="1"/>
        <v>41.567777777777799</v>
      </c>
      <c r="I66" s="29" t="str">
        <f>IF(様式97_入院ベースアップ評価料!$I$84=B66,"",IF(H66&lt;=0,"該当",""))</f>
        <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f>様式97_入院ベースアップ評価料!$I$84-A67</f>
        <v>-6.9666666666666686</v>
      </c>
      <c r="G67" s="29">
        <f>様式97_入院ベースアップ評価料!$I$84-B67</f>
        <v>-7.9666666666666686</v>
      </c>
      <c r="H67" s="29">
        <f t="shared" si="1"/>
        <v>55.501111111111136</v>
      </c>
      <c r="I67" s="29" t="str">
        <f>IF(様式97_入院ベースアップ評価料!$I$84=B67,"",IF(H67&lt;=0,"該当",""))</f>
        <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f>様式97_入院ベースアップ評価料!$I$84-A68</f>
        <v>-7.9666666666666686</v>
      </c>
      <c r="G68" s="29">
        <f>様式97_入院ベースアップ評価料!$I$84-B68</f>
        <v>-8.9666666666666686</v>
      </c>
      <c r="H68" s="29">
        <f t="shared" ref="H68:H99" si="2">F68*G68</f>
        <v>71.43444444444448</v>
      </c>
      <c r="I68" s="29" t="str">
        <f>IF(様式97_入院ベースアップ評価料!$I$84=B68,"",IF(H68&lt;=0,"該当",""))</f>
        <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f>様式97_入院ベースアップ評価料!$I$84-A69</f>
        <v>-8.9666666666666686</v>
      </c>
      <c r="G69" s="29">
        <f>様式97_入院ベースアップ評価料!$I$84-B69</f>
        <v>-9.9666666666666686</v>
      </c>
      <c r="H69" s="29">
        <f t="shared" si="2"/>
        <v>89.367777777777818</v>
      </c>
      <c r="I69" s="29" t="str">
        <f>IF(様式97_入院ベースアップ評価料!$I$84=B69,"",IF(H69&lt;=0,"該当",""))</f>
        <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f>様式97_入院ベースアップ評価料!$I$84-A70</f>
        <v>-9.9666666666666686</v>
      </c>
      <c r="G70" s="29">
        <f>様式97_入院ベースアップ評価料!$I$84-B70</f>
        <v>-10.966666666666669</v>
      </c>
      <c r="H70" s="29">
        <f t="shared" si="2"/>
        <v>109.30111111111115</v>
      </c>
      <c r="I70" s="29" t="str">
        <f>IF(様式97_入院ベースアップ評価料!$I$84=B70,"",IF(H70&lt;=0,"該当",""))</f>
        <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f>様式97_入院ベースアップ評価料!$I$84-A71</f>
        <v>-10.966666666666669</v>
      </c>
      <c r="G71" s="29">
        <f>様式97_入院ベースアップ評価料!$I$84-B71</f>
        <v>-11.966666666666669</v>
      </c>
      <c r="H71" s="29">
        <f t="shared" si="2"/>
        <v>131.23444444444448</v>
      </c>
      <c r="I71" s="29" t="str">
        <f>IF(様式97_入院ベースアップ評価料!$I$84=B71,"",IF(H71&lt;=0,"該当",""))</f>
        <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f>様式97_入院ベースアップ評価料!$I$84-A72</f>
        <v>-11.966666666666669</v>
      </c>
      <c r="G72" s="29">
        <f>様式97_入院ベースアップ評価料!$I$84-B72</f>
        <v>-12.966666666666669</v>
      </c>
      <c r="H72" s="29">
        <f t="shared" si="2"/>
        <v>155.16777777777781</v>
      </c>
      <c r="I72" s="29" t="str">
        <f>IF(様式97_入院ベースアップ評価料!$I$84=B72,"",IF(H72&lt;=0,"該当",""))</f>
        <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f>様式97_入院ベースアップ評価料!$I$84-A73</f>
        <v>-12.966666666666669</v>
      </c>
      <c r="G73" s="29">
        <f>様式97_入院ベースアップ評価料!$I$84-B73</f>
        <v>-13.966666666666669</v>
      </c>
      <c r="H73" s="29">
        <f t="shared" si="2"/>
        <v>181.10111111111115</v>
      </c>
      <c r="I73" s="29" t="str">
        <f>IF(様式97_入院ベースアップ評価料!$I$84=B73,"",IF(H73&lt;=0,"該当",""))</f>
        <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f>様式97_入院ベースアップ評価料!$I$84-A74</f>
        <v>-13.966666666666669</v>
      </c>
      <c r="G74" s="29">
        <f>様式97_入院ベースアップ評価料!$I$84-B74</f>
        <v>-14.966666666666669</v>
      </c>
      <c r="H74" s="29">
        <f t="shared" si="2"/>
        <v>209.03444444444449</v>
      </c>
      <c r="I74" s="29" t="str">
        <f>IF(様式97_入院ベースアップ評価料!$I$84=B74,"",IF(H74&lt;=0,"該当",""))</f>
        <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f>様式97_入院ベースアップ評価料!$I$84-A75</f>
        <v>-14.966666666666669</v>
      </c>
      <c r="G75" s="29">
        <f>様式97_入院ベースアップ評価料!$I$84-B75</f>
        <v>-15.966666666666669</v>
      </c>
      <c r="H75" s="29">
        <f t="shared" si="2"/>
        <v>238.96777777777783</v>
      </c>
      <c r="I75" s="29" t="str">
        <f>IF(様式97_入院ベースアップ評価料!$I$84=B75,"",IF(H75&lt;=0,"該当",""))</f>
        <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f>様式97_入院ベースアップ評価料!$I$84-A76</f>
        <v>-15.966666666666669</v>
      </c>
      <c r="G76" s="29">
        <f>様式97_入院ベースアップ評価料!$I$84-B76</f>
        <v>-16.966666666666669</v>
      </c>
      <c r="H76" s="29">
        <f t="shared" si="2"/>
        <v>270.90111111111116</v>
      </c>
      <c r="I76" s="29" t="str">
        <f>IF(様式97_入院ベースアップ評価料!$I$84=B76,"",IF(H76&lt;=0,"該当",""))</f>
        <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f>様式97_入院ベースアップ評価料!$I$84-A77</f>
        <v>-16.966666666666669</v>
      </c>
      <c r="G77" s="29">
        <f>様式97_入院ベースアップ評価料!$I$84-B77</f>
        <v>-17.966666666666669</v>
      </c>
      <c r="H77" s="29">
        <f t="shared" si="2"/>
        <v>304.8344444444445</v>
      </c>
      <c r="I77" s="29" t="str">
        <f>IF(様式97_入院ベースアップ評価料!$I$84=B77,"",IF(H77&lt;=0,"該当",""))</f>
        <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f>様式97_入院ベースアップ評価料!$I$84-A78</f>
        <v>-17.966666666666669</v>
      </c>
      <c r="G78" s="29">
        <f>様式97_入院ベースアップ評価料!$I$84-B78</f>
        <v>-18.966666666666669</v>
      </c>
      <c r="H78" s="29">
        <f t="shared" si="2"/>
        <v>340.76777777777784</v>
      </c>
      <c r="I78" s="29" t="str">
        <f>IF(様式97_入院ベースアップ評価料!$I$84=B78,"",IF(H78&lt;=0,"該当",""))</f>
        <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f>様式97_入院ベースアップ評価料!$I$84-A79</f>
        <v>-18.966666666666669</v>
      </c>
      <c r="G79" s="29">
        <f>様式97_入院ベースアップ評価料!$I$84-B79</f>
        <v>-19.966666666666669</v>
      </c>
      <c r="H79" s="29">
        <f t="shared" si="2"/>
        <v>378.70111111111117</v>
      </c>
      <c r="I79" s="29" t="str">
        <f>IF(様式97_入院ベースアップ評価料!$I$84=B79,"",IF(H79&lt;=0,"該当",""))</f>
        <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f>様式97_入院ベースアップ評価料!$I$84-A80</f>
        <v>-19.966666666666669</v>
      </c>
      <c r="G80" s="29">
        <f>様式97_入院ベースアップ評価料!$I$84-B80</f>
        <v>-20.966666666666669</v>
      </c>
      <c r="H80" s="29">
        <f t="shared" si="2"/>
        <v>418.63444444444451</v>
      </c>
      <c r="I80" s="29" t="str">
        <f>IF(様式97_入院ベースアップ評価料!$I$84=B80,"",IF(H80&lt;=0,"該当",""))</f>
        <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f>様式97_入院ベースアップ評価料!$I$84-A81</f>
        <v>-20.966666666666669</v>
      </c>
      <c r="G81" s="29">
        <f>様式97_入院ベースアップ評価料!$I$84-B81</f>
        <v>-21.966666666666669</v>
      </c>
      <c r="H81" s="29">
        <f t="shared" si="2"/>
        <v>460.56777777777785</v>
      </c>
      <c r="I81" s="29" t="str">
        <f>IF(様式97_入院ベースアップ評価料!$I$84=B81,"",IF(H81&lt;=0,"該当",""))</f>
        <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f>様式97_入院ベースアップ評価料!$I$84-A82</f>
        <v>-21.966666666666669</v>
      </c>
      <c r="G82" s="29">
        <f>様式97_入院ベースアップ評価料!$I$84-B82</f>
        <v>-22.966666666666669</v>
      </c>
      <c r="H82" s="29">
        <f t="shared" si="2"/>
        <v>504.50111111111119</v>
      </c>
      <c r="I82" s="29" t="str">
        <f>IF(様式97_入院ベースアップ評価料!$I$84=B82,"",IF(H82&lt;=0,"該当",""))</f>
        <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f>様式97_入院ベースアップ評価料!$I$84-A83</f>
        <v>-22.966666666666669</v>
      </c>
      <c r="G83" s="29">
        <f>様式97_入院ベースアップ評価料!$I$84-B83</f>
        <v>-23.966666666666669</v>
      </c>
      <c r="H83" s="29">
        <f t="shared" si="2"/>
        <v>550.43444444444458</v>
      </c>
      <c r="I83" s="29" t="str">
        <f>IF(様式97_入院ベースアップ評価料!$I$84=B83,"",IF(H83&lt;=0,"該当",""))</f>
        <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f>様式97_入院ベースアップ評価料!$I$84-A84</f>
        <v>-23.966666666666669</v>
      </c>
      <c r="G84" s="29">
        <f>様式97_入院ベースアップ評価料!$I$84-B84</f>
        <v>-24.966666666666669</v>
      </c>
      <c r="H84" s="29">
        <f t="shared" si="2"/>
        <v>598.36777777777786</v>
      </c>
      <c r="I84" s="29" t="str">
        <f>IF(様式97_入院ベースアップ評価料!$I$84=B84,"",IF(H84&lt;=0,"該当",""))</f>
        <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f>様式97_入院ベースアップ評価料!$I$84-A85</f>
        <v>-24.966666666666669</v>
      </c>
      <c r="G85" s="29">
        <f>様式97_入院ベースアップ評価料!$I$84-B85</f>
        <v>-25.966666666666669</v>
      </c>
      <c r="H85" s="29">
        <f t="shared" si="2"/>
        <v>648.30111111111125</v>
      </c>
      <c r="I85" s="29" t="str">
        <f>IF(様式97_入院ベースアップ評価料!$I$84=B85,"",IF(H85&lt;=0,"該当",""))</f>
        <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f>様式97_入院ベースアップ評価料!$I$84-A86</f>
        <v>-25.966666666666669</v>
      </c>
      <c r="G86" s="29">
        <f>様式97_入院ベースアップ評価料!$I$84-B86</f>
        <v>-26.966666666666669</v>
      </c>
      <c r="H86" s="29">
        <f t="shared" si="2"/>
        <v>700.23444444444453</v>
      </c>
      <c r="I86" s="29" t="str">
        <f>IF(様式97_入院ベースアップ評価料!$I$84=B86,"",IF(H86&lt;=0,"該当",""))</f>
        <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f>様式97_入院ベースアップ評価料!$I$84-A87</f>
        <v>-26.966666666666669</v>
      </c>
      <c r="G87" s="29">
        <f>様式97_入院ベースアップ評価料!$I$84-B87</f>
        <v>-27.966666666666669</v>
      </c>
      <c r="H87" s="29">
        <f t="shared" si="2"/>
        <v>754.16777777777793</v>
      </c>
      <c r="I87" s="29" t="str">
        <f>IF(様式97_入院ベースアップ評価料!$I$84=B87,"",IF(H87&lt;=0,"該当",""))</f>
        <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f>様式97_入院ベースアップ評価料!$I$84-A88</f>
        <v>-27.966666666666669</v>
      </c>
      <c r="G88" s="29">
        <f>様式97_入院ベースアップ評価料!$I$84-B88</f>
        <v>-28.966666666666669</v>
      </c>
      <c r="H88" s="29">
        <f t="shared" si="2"/>
        <v>810.10111111111121</v>
      </c>
      <c r="I88" s="29" t="str">
        <f>IF(様式97_入院ベースアップ評価料!$I$84=B88,"",IF(H88&lt;=0,"該当",""))</f>
        <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f>様式97_入院ベースアップ評価料!$I$84-A89</f>
        <v>-28.966666666666669</v>
      </c>
      <c r="G89" s="29">
        <f>様式97_入院ベースアップ評価料!$I$84-B89</f>
        <v>-29.966666666666669</v>
      </c>
      <c r="H89" s="29">
        <f t="shared" si="2"/>
        <v>868.0344444444446</v>
      </c>
      <c r="I89" s="29" t="str">
        <f>IF(様式97_入院ベースアップ評価料!$I$84=B89,"",IF(H89&lt;=0,"該当",""))</f>
        <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f>様式97_入院ベースアップ評価料!$I$84-A90</f>
        <v>-29.966666666666669</v>
      </c>
      <c r="G90" s="29">
        <f>様式97_入院ベースアップ評価料!$I$84-B90</f>
        <v>-30.966666666666669</v>
      </c>
      <c r="H90" s="29">
        <f t="shared" si="2"/>
        <v>927.96777777777788</v>
      </c>
      <c r="I90" s="29" t="str">
        <f>IF(様式97_入院ベースアップ評価料!$I$84=B90,"",IF(H90&lt;=0,"該当",""))</f>
        <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f>様式97_入院ベースアップ評価料!$I$84-A91</f>
        <v>-30.966666666666669</v>
      </c>
      <c r="G91" s="29">
        <f>様式97_入院ベースアップ評価料!$I$84-B91</f>
        <v>-31.966666666666669</v>
      </c>
      <c r="H91" s="29">
        <f t="shared" si="2"/>
        <v>989.90111111111128</v>
      </c>
      <c r="I91" s="29" t="str">
        <f>IF(様式97_入院ベースアップ評価料!$I$84=B91,"",IF(H91&lt;=0,"該当",""))</f>
        <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f>様式97_入院ベースアップ評価料!$I$84-A92</f>
        <v>-31.966666666666669</v>
      </c>
      <c r="G92" s="29">
        <f>様式97_入院ベースアップ評価料!$I$84-B92</f>
        <v>-32.966666666666669</v>
      </c>
      <c r="H92" s="29">
        <f t="shared" si="2"/>
        <v>1053.8344444444447</v>
      </c>
      <c r="I92" s="29" t="str">
        <f>IF(様式97_入院ベースアップ評価料!$I$84=B92,"",IF(H92&lt;=0,"該当",""))</f>
        <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f>様式97_入院ベースアップ評価料!$I$84-A93</f>
        <v>-32.966666666666669</v>
      </c>
      <c r="G93" s="29">
        <f>様式97_入院ベースアップ評価料!$I$84-B93</f>
        <v>-33.966666666666669</v>
      </c>
      <c r="H93" s="29">
        <f t="shared" si="2"/>
        <v>1119.7677777777778</v>
      </c>
      <c r="I93" s="29" t="str">
        <f>IF(様式97_入院ベースアップ評価料!$I$84=B93,"",IF(H93&lt;=0,"該当",""))</f>
        <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f>様式97_入院ベースアップ評価料!$I$84-A94</f>
        <v>-33.966666666666669</v>
      </c>
      <c r="G94" s="29">
        <f>様式97_入院ベースアップ評価料!$I$84-B94</f>
        <v>-34.966666666666669</v>
      </c>
      <c r="H94" s="29">
        <f t="shared" si="2"/>
        <v>1187.7011111111112</v>
      </c>
      <c r="I94" s="29" t="str">
        <f>IF(様式97_入院ベースアップ評価料!$I$84=B94,"",IF(H94&lt;=0,"該当",""))</f>
        <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f>様式97_入院ベースアップ評価料!$I$84-A95</f>
        <v>-34.966666666666669</v>
      </c>
      <c r="G95" s="29">
        <f>様式97_入院ベースアップ評価料!$I$84-B95</f>
        <v>-35.966666666666669</v>
      </c>
      <c r="H95" s="29">
        <f t="shared" si="2"/>
        <v>1257.6344444444446</v>
      </c>
      <c r="I95" s="29" t="str">
        <f>IF(様式97_入院ベースアップ評価料!$I$84=B95,"",IF(H95&lt;=0,"該当",""))</f>
        <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f>様式97_入院ベースアップ評価料!$I$84-A96</f>
        <v>-35.966666666666669</v>
      </c>
      <c r="G96" s="29">
        <f>様式97_入院ベースアップ評価料!$I$84-B96</f>
        <v>-36.966666666666669</v>
      </c>
      <c r="H96" s="29">
        <f t="shared" si="2"/>
        <v>1329.567777777778</v>
      </c>
      <c r="I96" s="29" t="str">
        <f>IF(様式97_入院ベースアップ評価料!$I$84=B96,"",IF(H96&lt;=0,"該当",""))</f>
        <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f>様式97_入院ベースアップ評価料!$I$84-A97</f>
        <v>-36.966666666666669</v>
      </c>
      <c r="G97" s="29">
        <f>様式97_入院ベースアップ評価料!$I$84-B97</f>
        <v>-37.966666666666669</v>
      </c>
      <c r="H97" s="29">
        <f t="shared" si="2"/>
        <v>1403.5011111111112</v>
      </c>
      <c r="I97" s="29" t="str">
        <f>IF(様式97_入院ベースアップ評価料!$I$84=B97,"",IF(H97&lt;=0,"該当",""))</f>
        <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f>様式97_入院ベースアップ評価料!$I$84-A98</f>
        <v>-37.966666666666669</v>
      </c>
      <c r="G98" s="29">
        <f>様式97_入院ベースアップ評価料!$I$84-B98</f>
        <v>-38.966666666666669</v>
      </c>
      <c r="H98" s="29">
        <f t="shared" si="2"/>
        <v>1479.4344444444446</v>
      </c>
      <c r="I98" s="29" t="str">
        <f>IF(様式97_入院ベースアップ評価料!$I$84=B98,"",IF(H98&lt;=0,"該当",""))</f>
        <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f>様式97_入院ベースアップ評価料!$I$84-A99</f>
        <v>-38.966666666666669</v>
      </c>
      <c r="G99" s="29">
        <f>様式97_入院ベースアップ評価料!$I$84-B99</f>
        <v>-39.966666666666669</v>
      </c>
      <c r="H99" s="29">
        <f t="shared" si="2"/>
        <v>1557.367777777778</v>
      </c>
      <c r="I99" s="29" t="str">
        <f>IF(様式97_入院ベースアップ評価料!$I$84=B99,"",IF(H99&lt;=0,"該当",""))</f>
        <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f>様式97_入院ベースアップ評価料!$I$84-A100</f>
        <v>-39.966666666666669</v>
      </c>
      <c r="G100" s="29">
        <f>様式97_入院ベースアップ評価料!$I$84-B100</f>
        <v>-40.966666666666669</v>
      </c>
      <c r="H100" s="29">
        <f t="shared" ref="H100:H131" si="3">F100*G100</f>
        <v>1637.3011111111114</v>
      </c>
      <c r="I100" s="29" t="str">
        <f>IF(様式97_入院ベースアップ評価料!$I$84=B100,"",IF(H100&lt;=0,"該当",""))</f>
        <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f>様式97_入院ベースアップ評価料!$I$84-A101</f>
        <v>-40.966666666666669</v>
      </c>
      <c r="G101" s="29">
        <f>様式97_入院ベースアップ評価料!$I$84-B101</f>
        <v>-41.966666666666669</v>
      </c>
      <c r="H101" s="29">
        <f t="shared" si="3"/>
        <v>1719.2344444444445</v>
      </c>
      <c r="I101" s="29" t="str">
        <f>IF(様式97_入院ベースアップ評価料!$I$84=B101,"",IF(H101&lt;=0,"該当",""))</f>
        <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f>様式97_入院ベースアップ評価料!$I$84-A102</f>
        <v>-41.966666666666669</v>
      </c>
      <c r="G102" s="29">
        <f>様式97_入院ベースアップ評価料!$I$84-B102</f>
        <v>-42.966666666666669</v>
      </c>
      <c r="H102" s="29">
        <f t="shared" si="3"/>
        <v>1803.1677777777779</v>
      </c>
      <c r="I102" s="29" t="str">
        <f>IF(様式97_入院ベースアップ評価料!$I$84=B102,"",IF(H102&lt;=0,"該当",""))</f>
        <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f>様式97_入院ベースアップ評価料!$I$84-A103</f>
        <v>-42.966666666666669</v>
      </c>
      <c r="G103" s="29">
        <f>様式97_入院ベースアップ評価料!$I$84-B103</f>
        <v>-43.966666666666669</v>
      </c>
      <c r="H103" s="29">
        <f t="shared" si="3"/>
        <v>1889.1011111111113</v>
      </c>
      <c r="I103" s="29" t="str">
        <f>IF(様式97_入院ベースアップ評価料!$I$84=B103,"",IF(H103&lt;=0,"該当",""))</f>
        <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f>様式97_入院ベースアップ評価料!$I$84-A104</f>
        <v>-43.966666666666669</v>
      </c>
      <c r="G104" s="29">
        <f>様式97_入院ベースアップ評価料!$I$84-B104</f>
        <v>-44.966666666666669</v>
      </c>
      <c r="H104" s="29">
        <f t="shared" si="3"/>
        <v>1977.0344444444447</v>
      </c>
      <c r="I104" s="29" t="str">
        <f>IF(様式97_入院ベースアップ評価料!$I$84=B104,"",IF(H104&lt;=0,"該当",""))</f>
        <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f>様式97_入院ベースアップ評価料!$I$84-A105</f>
        <v>-44.966666666666669</v>
      </c>
      <c r="G105" s="29">
        <f>様式97_入院ベースアップ評価料!$I$84-B105</f>
        <v>-45.966666666666669</v>
      </c>
      <c r="H105" s="29">
        <f t="shared" si="3"/>
        <v>2066.9677777777779</v>
      </c>
      <c r="I105" s="29" t="str">
        <f>IF(様式97_入院ベースアップ評価料!$I$84=B105,"",IF(H105&lt;=0,"該当",""))</f>
        <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f>様式97_入院ベースアップ評価料!$I$84-A106</f>
        <v>-45.966666666666669</v>
      </c>
      <c r="G106" s="29">
        <f>様式97_入院ベースアップ評価料!$I$84-B106</f>
        <v>-46.966666666666669</v>
      </c>
      <c r="H106" s="29">
        <f t="shared" si="3"/>
        <v>2158.9011111111113</v>
      </c>
      <c r="I106" s="29" t="str">
        <f>IF(様式97_入院ベースアップ評価料!$I$84=B106,"",IF(H106&lt;=0,"該当",""))</f>
        <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f>様式97_入院ベースアップ評価料!$I$84-A107</f>
        <v>-46.966666666666669</v>
      </c>
      <c r="G107" s="29">
        <f>様式97_入院ベースアップ評価料!$I$84-B107</f>
        <v>-47.966666666666669</v>
      </c>
      <c r="H107" s="29">
        <f t="shared" si="3"/>
        <v>2252.8344444444447</v>
      </c>
      <c r="I107" s="29" t="str">
        <f>IF(様式97_入院ベースアップ評価料!$I$84=B107,"",IF(H107&lt;=0,"該当",""))</f>
        <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f>様式97_入院ベースアップ評価料!$I$84-A108</f>
        <v>-47.966666666666669</v>
      </c>
      <c r="G108" s="29">
        <f>様式97_入院ベースアップ評価料!$I$84-B108</f>
        <v>-48.966666666666669</v>
      </c>
      <c r="H108" s="29">
        <f t="shared" si="3"/>
        <v>2348.7677777777781</v>
      </c>
      <c r="I108" s="29" t="str">
        <f>IF(様式97_入院ベースアップ評価料!$I$84=B108,"",IF(H108&lt;=0,"該当",""))</f>
        <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f>様式97_入院ベースアップ評価料!$I$84-A109</f>
        <v>-48.966666666666669</v>
      </c>
      <c r="G109" s="29">
        <f>様式97_入院ベースアップ評価料!$I$84-B109</f>
        <v>-49.966666666666669</v>
      </c>
      <c r="H109" s="29">
        <f t="shared" si="3"/>
        <v>2446.7011111111115</v>
      </c>
      <c r="I109" s="29" t="str">
        <f>IF(様式97_入院ベースアップ評価料!$I$84=B109,"",IF(H109&lt;=0,"該当",""))</f>
        <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f>様式97_入院ベースアップ評価料!$I$84-A110</f>
        <v>-49.966666666666669</v>
      </c>
      <c r="G110" s="29">
        <f>様式97_入院ベースアップ評価料!$I$84-B110</f>
        <v>-50.966666666666669</v>
      </c>
      <c r="H110" s="29">
        <f t="shared" si="3"/>
        <v>2546.6344444444449</v>
      </c>
      <c r="I110" s="29" t="str">
        <f>IF(様式97_入院ベースアップ評価料!$I$84=B110,"",IF(H110&lt;=0,"該当",""))</f>
        <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f>様式97_入院ベースアップ評価料!$I$84-A111</f>
        <v>-50.966666666666669</v>
      </c>
      <c r="G111" s="29">
        <f>様式97_入院ベースアップ評価料!$I$84-B111</f>
        <v>-51.966666666666669</v>
      </c>
      <c r="H111" s="29">
        <f t="shared" si="3"/>
        <v>2648.5677777777778</v>
      </c>
      <c r="I111" s="29" t="str">
        <f>IF(様式97_入院ベースアップ評価料!$I$84=B111,"",IF(H111&lt;=0,"該当",""))</f>
        <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f>様式97_入院ベースアップ評価料!$I$84-A112</f>
        <v>-51.966666666666669</v>
      </c>
      <c r="G112" s="29">
        <f>様式97_入院ベースアップ評価料!$I$84-B112</f>
        <v>-52.966666666666669</v>
      </c>
      <c r="H112" s="29">
        <f t="shared" si="3"/>
        <v>2752.5011111111112</v>
      </c>
      <c r="I112" s="29" t="str">
        <f>IF(様式97_入院ベースアップ評価料!$I$84=B112,"",IF(H112&lt;=0,"該当",""))</f>
        <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f>様式97_入院ベースアップ評価料!$I$84-A113</f>
        <v>-52.966666666666669</v>
      </c>
      <c r="G113" s="29">
        <f>様式97_入院ベースアップ評価料!$I$84-B113</f>
        <v>-53.966666666666669</v>
      </c>
      <c r="H113" s="29">
        <f t="shared" si="3"/>
        <v>2858.4344444444446</v>
      </c>
      <c r="I113" s="29" t="str">
        <f>IF(様式97_入院ベースアップ評価料!$I$84=B113,"",IF(H113&lt;=0,"該当",""))</f>
        <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f>様式97_入院ベースアップ評価料!$I$84-A114</f>
        <v>-53.966666666666669</v>
      </c>
      <c r="G114" s="29">
        <f>様式97_入院ベースアップ評価料!$I$84-B114</f>
        <v>-54.966666666666669</v>
      </c>
      <c r="H114" s="29">
        <f t="shared" si="3"/>
        <v>2966.367777777778</v>
      </c>
      <c r="I114" s="29" t="str">
        <f>IF(様式97_入院ベースアップ評価料!$I$84=B114,"",IF(H114&lt;=0,"該当",""))</f>
        <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f>様式97_入院ベースアップ評価料!$I$84-A115</f>
        <v>-54.966666666666669</v>
      </c>
      <c r="G115" s="29">
        <f>様式97_入院ベースアップ評価料!$I$84-B115</f>
        <v>-55.966666666666669</v>
      </c>
      <c r="H115" s="29">
        <f t="shared" si="3"/>
        <v>3076.3011111111114</v>
      </c>
      <c r="I115" s="29" t="str">
        <f>IF(様式97_入院ベースアップ評価料!$I$84=B115,"",IF(H115&lt;=0,"該当",""))</f>
        <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f>様式97_入院ベースアップ評価料!$I$84-A116</f>
        <v>-55.966666666666669</v>
      </c>
      <c r="G116" s="29">
        <f>様式97_入院ベースアップ評価料!$I$84-B116</f>
        <v>-56.966666666666669</v>
      </c>
      <c r="H116" s="29">
        <f t="shared" si="3"/>
        <v>3188.2344444444448</v>
      </c>
      <c r="I116" s="29" t="str">
        <f>IF(様式97_入院ベースアップ評価料!$I$84=B116,"",IF(H116&lt;=0,"該当",""))</f>
        <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f>様式97_入院ベースアップ評価料!$I$84-A117</f>
        <v>-56.966666666666669</v>
      </c>
      <c r="G117" s="29">
        <f>様式97_入院ベースアップ評価料!$I$84-B117</f>
        <v>-57.966666666666669</v>
      </c>
      <c r="H117" s="29">
        <f t="shared" si="3"/>
        <v>3302.1677777777782</v>
      </c>
      <c r="I117" s="29" t="str">
        <f>IF(様式97_入院ベースアップ評価料!$I$84=B117,"",IF(H117&lt;=0,"該当",""))</f>
        <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f>様式97_入院ベースアップ評価料!$I$84-A118</f>
        <v>-57.966666666666669</v>
      </c>
      <c r="G118" s="29">
        <f>様式97_入院ベースアップ評価料!$I$84-B118</f>
        <v>-58.966666666666669</v>
      </c>
      <c r="H118" s="29">
        <f t="shared" si="3"/>
        <v>3418.1011111111115</v>
      </c>
      <c r="I118" s="29" t="str">
        <f>IF(様式97_入院ベースアップ評価料!$I$84=B118,"",IF(H118&lt;=0,"該当",""))</f>
        <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f>様式97_入院ベースアップ評価料!$I$84-A119</f>
        <v>-58.966666666666669</v>
      </c>
      <c r="G119" s="29">
        <f>様式97_入院ベースアップ評価料!$I$84-B119</f>
        <v>-59.966666666666669</v>
      </c>
      <c r="H119" s="29">
        <f t="shared" si="3"/>
        <v>3536.0344444444445</v>
      </c>
      <c r="I119" s="29" t="str">
        <f>IF(様式97_入院ベースアップ評価料!$I$84=B119,"",IF(H119&lt;=0,"該当",""))</f>
        <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f>様式97_入院ベースアップ評価料!$I$84-A120</f>
        <v>-59.966666666666669</v>
      </c>
      <c r="G120" s="29">
        <f>様式97_入院ベースアップ評価料!$I$84-B120</f>
        <v>-60.966666666666669</v>
      </c>
      <c r="H120" s="29">
        <f t="shared" si="3"/>
        <v>3655.9677777777779</v>
      </c>
      <c r="I120" s="29" t="str">
        <f>IF(様式97_入院ベースアップ評価料!$I$84=B120,"",IF(H120&lt;=0,"該当",""))</f>
        <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f>様式97_入院ベースアップ評価料!$I$84-A121</f>
        <v>-60.966666666666669</v>
      </c>
      <c r="G121" s="29">
        <f>様式97_入院ベースアップ評価料!$I$84-B121</f>
        <v>-61.966666666666669</v>
      </c>
      <c r="H121" s="29">
        <f t="shared" si="3"/>
        <v>3777.9011111111113</v>
      </c>
      <c r="I121" s="29" t="str">
        <f>IF(様式97_入院ベースアップ評価料!$I$84=B121,"",IF(H121&lt;=0,"該当",""))</f>
        <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f>様式97_入院ベースアップ評価料!$I$84-A122</f>
        <v>-61.966666666666669</v>
      </c>
      <c r="G122" s="29">
        <f>様式97_入院ベースアップ評価料!$I$84-B122</f>
        <v>-62.966666666666669</v>
      </c>
      <c r="H122" s="29">
        <f t="shared" si="3"/>
        <v>3901.8344444444447</v>
      </c>
      <c r="I122" s="29" t="str">
        <f>IF(様式97_入院ベースアップ評価料!$I$84=B122,"",IF(H122&lt;=0,"該当",""))</f>
        <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f>様式97_入院ベースアップ評価料!$I$84-A123</f>
        <v>-62.966666666666669</v>
      </c>
      <c r="G123" s="29">
        <f>様式97_入院ベースアップ評価料!$I$84-B123</f>
        <v>-63.966666666666669</v>
      </c>
      <c r="H123" s="29">
        <f t="shared" si="3"/>
        <v>4027.7677777777781</v>
      </c>
      <c r="I123" s="29" t="str">
        <f>IF(様式97_入院ベースアップ評価料!$I$84=B123,"",IF(H123&lt;=0,"該当",""))</f>
        <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f>様式97_入院ベースアップ評価料!$I$84-A124</f>
        <v>-63.966666666666669</v>
      </c>
      <c r="G124" s="29">
        <f>様式97_入院ベースアップ評価料!$I$84-B124</f>
        <v>-64.966666666666669</v>
      </c>
      <c r="H124" s="29">
        <f t="shared" si="3"/>
        <v>4155.7011111111115</v>
      </c>
      <c r="I124" s="29" t="str">
        <f>IF(様式97_入院ベースアップ評価料!$I$84=B124,"",IF(H124&lt;=0,"該当",""))</f>
        <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f>様式97_入院ベースアップ評価料!$I$84-A125</f>
        <v>-64.966666666666669</v>
      </c>
      <c r="G125" s="29">
        <f>様式97_入院ベースアップ評価料!$I$84-B125</f>
        <v>-65.966666666666669</v>
      </c>
      <c r="H125" s="29">
        <f t="shared" si="3"/>
        <v>4285.6344444444449</v>
      </c>
      <c r="I125" s="29" t="str">
        <f>IF(様式97_入院ベースアップ評価料!$I$84=B125,"",IF(H125&lt;=0,"該当",""))</f>
        <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f>様式97_入院ベースアップ評価料!$I$84-A126</f>
        <v>-65.966666666666669</v>
      </c>
      <c r="G126" s="29">
        <f>様式97_入院ベースアップ評価料!$I$84-B126</f>
        <v>-66.966666666666669</v>
      </c>
      <c r="H126" s="29">
        <f t="shared" si="3"/>
        <v>4417.5677777777782</v>
      </c>
      <c r="I126" s="29" t="str">
        <f>IF(様式97_入院ベースアップ評価料!$I$84=B126,"",IF(H126&lt;=0,"該当",""))</f>
        <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f>様式97_入院ベースアップ評価料!$I$84-A127</f>
        <v>-66.966666666666669</v>
      </c>
      <c r="G127" s="29">
        <f>様式97_入院ベースアップ評価料!$I$84-B127</f>
        <v>-67.966666666666669</v>
      </c>
      <c r="H127" s="29">
        <f t="shared" si="3"/>
        <v>4551.5011111111116</v>
      </c>
      <c r="I127" s="29" t="str">
        <f>IF(様式97_入院ベースアップ評価料!$I$84=B127,"",IF(H127&lt;=0,"該当",""))</f>
        <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f>様式97_入院ベースアップ評価料!$I$84-A128</f>
        <v>-67.966666666666669</v>
      </c>
      <c r="G128" s="29">
        <f>様式97_入院ベースアップ評価料!$I$84-B128</f>
        <v>-68.966666666666669</v>
      </c>
      <c r="H128" s="29">
        <f t="shared" si="3"/>
        <v>4687.434444444445</v>
      </c>
      <c r="I128" s="29" t="str">
        <f>IF(様式97_入院ベースアップ評価料!$I$84=B128,"",IF(H128&lt;=0,"該当",""))</f>
        <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f>様式97_入院ベースアップ評価料!$I$84-A129</f>
        <v>-68.966666666666669</v>
      </c>
      <c r="G129" s="29">
        <f>様式97_入院ベースアップ評価料!$I$84-B129</f>
        <v>-69.966666666666669</v>
      </c>
      <c r="H129" s="29">
        <f t="shared" si="3"/>
        <v>4825.3677777777784</v>
      </c>
      <c r="I129" s="29" t="str">
        <f>IF(様式97_入院ベースアップ評価料!$I$84=B129,"",IF(H129&lt;=0,"該当",""))</f>
        <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f>様式97_入院ベースアップ評価料!$I$84-A130</f>
        <v>-69.966666666666669</v>
      </c>
      <c r="G130" s="29">
        <f>様式97_入院ベースアップ評価料!$I$84-B130</f>
        <v>-70.966666666666669</v>
      </c>
      <c r="H130" s="29">
        <f t="shared" si="3"/>
        <v>4965.3011111111118</v>
      </c>
      <c r="I130" s="29" t="str">
        <f>IF(様式97_入院ベースアップ評価料!$I$84=B130,"",IF(H130&lt;=0,"該当",""))</f>
        <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f>様式97_入院ベースアップ評価料!$I$84-A131</f>
        <v>-70.966666666666669</v>
      </c>
      <c r="G131" s="29">
        <f>様式97_入院ベースアップ評価料!$I$84-B131</f>
        <v>-71.966666666666669</v>
      </c>
      <c r="H131" s="29">
        <f t="shared" si="3"/>
        <v>5107.2344444444443</v>
      </c>
      <c r="I131" s="29" t="str">
        <f>IF(様式97_入院ベースアップ評価料!$I$84=B131,"",IF(H131&lt;=0,"該当",""))</f>
        <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f>様式97_入院ベースアップ評価料!$I$84-A132</f>
        <v>-71.966666666666669</v>
      </c>
      <c r="G132" s="29">
        <f>様式97_入院ベースアップ評価料!$I$84-B132</f>
        <v>-72.966666666666669</v>
      </c>
      <c r="H132" s="29">
        <f t="shared" ref="H132:H153" si="4">F132*G132</f>
        <v>5251.1677777777777</v>
      </c>
      <c r="I132" s="29" t="str">
        <f>IF(様式97_入院ベースアップ評価料!$I$84=B132,"",IF(H132&lt;=0,"該当",""))</f>
        <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f>様式97_入院ベースアップ評価料!$I$84-A133</f>
        <v>-72.966666666666669</v>
      </c>
      <c r="G133" s="29">
        <f>様式97_入院ベースアップ評価料!$I$84-B133</f>
        <v>-73.966666666666669</v>
      </c>
      <c r="H133" s="29">
        <f t="shared" si="4"/>
        <v>5397.1011111111111</v>
      </c>
      <c r="I133" s="29" t="str">
        <f>IF(様式97_入院ベースアップ評価料!$I$84=B133,"",IF(H133&lt;=0,"該当",""))</f>
        <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f>様式97_入院ベースアップ評価料!$I$84-A134</f>
        <v>-73.966666666666669</v>
      </c>
      <c r="G134" s="29">
        <f>様式97_入院ベースアップ評価料!$I$84-B134</f>
        <v>-74.966666666666669</v>
      </c>
      <c r="H134" s="29">
        <f t="shared" si="4"/>
        <v>5545.0344444444445</v>
      </c>
      <c r="I134" s="29" t="str">
        <f>IF(様式97_入院ベースアップ評価料!$I$84=B134,"",IF(H134&lt;=0,"該当",""))</f>
        <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f>様式97_入院ベースアップ評価料!$I$84-A135</f>
        <v>-74.966666666666669</v>
      </c>
      <c r="G135" s="29">
        <f>様式97_入院ベースアップ評価料!$I$84-B135</f>
        <v>-75.966666666666669</v>
      </c>
      <c r="H135" s="29">
        <f t="shared" si="4"/>
        <v>5694.9677777777779</v>
      </c>
      <c r="I135" s="29" t="str">
        <f>IF(様式97_入院ベースアップ評価料!$I$84=B135,"",IF(H135&lt;=0,"該当",""))</f>
        <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f>様式97_入院ベースアップ評価料!$I$84-A136</f>
        <v>-75.966666666666669</v>
      </c>
      <c r="G136" s="29">
        <f>様式97_入院ベースアップ評価料!$I$84-B136</f>
        <v>-76.966666666666669</v>
      </c>
      <c r="H136" s="29">
        <f t="shared" si="4"/>
        <v>5846.9011111111113</v>
      </c>
      <c r="I136" s="29" t="str">
        <f>IF(様式97_入院ベースアップ評価料!$I$84=B136,"",IF(H136&lt;=0,"該当",""))</f>
        <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f>様式97_入院ベースアップ評価料!$I$84-A137</f>
        <v>-76.966666666666669</v>
      </c>
      <c r="G137" s="29">
        <f>様式97_入院ベースアップ評価料!$I$84-B137</f>
        <v>-77.966666666666669</v>
      </c>
      <c r="H137" s="29">
        <f t="shared" si="4"/>
        <v>6000.8344444444447</v>
      </c>
      <c r="I137" s="29" t="str">
        <f>IF(様式97_入院ベースアップ評価料!$I$84=B137,"",IF(H137&lt;=0,"該当",""))</f>
        <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f>様式97_入院ベースアップ評価料!$I$84-A138</f>
        <v>-77.966666666666669</v>
      </c>
      <c r="G138" s="29">
        <f>様式97_入院ベースアップ評価料!$I$84-B138</f>
        <v>-78.966666666666669</v>
      </c>
      <c r="H138" s="29">
        <f t="shared" si="4"/>
        <v>6156.7677777777781</v>
      </c>
      <c r="I138" s="29" t="str">
        <f>IF(様式97_入院ベースアップ評価料!$I$84=B138,"",IF(H138&lt;=0,"該当",""))</f>
        <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f>様式97_入院ベースアップ評価料!$I$84-A139</f>
        <v>-78.966666666666669</v>
      </c>
      <c r="G139" s="29">
        <f>様式97_入院ベースアップ評価料!$I$84-B139</f>
        <v>-79.966666666666669</v>
      </c>
      <c r="H139" s="29">
        <f t="shared" si="4"/>
        <v>6314.7011111111115</v>
      </c>
      <c r="I139" s="29" t="str">
        <f>IF(様式97_入院ベースアップ評価料!$I$84=B139,"",IF(H139&lt;=0,"該当",""))</f>
        <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f>様式97_入院ベースアップ評価料!$I$84-A140</f>
        <v>-79.966666666666669</v>
      </c>
      <c r="G140" s="29">
        <f>様式97_入院ベースアップ評価料!$I$84-B140</f>
        <v>-80.966666666666669</v>
      </c>
      <c r="H140" s="29">
        <f t="shared" si="4"/>
        <v>6474.6344444444449</v>
      </c>
      <c r="I140" s="29" t="str">
        <f>IF(様式97_入院ベースアップ評価料!$I$84=B140,"",IF(H140&lt;=0,"該当",""))</f>
        <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f>様式97_入院ベースアップ評価料!$I$84-A141</f>
        <v>-80.966666666666669</v>
      </c>
      <c r="G141" s="29">
        <f>様式97_入院ベースアップ評価料!$I$84-B141</f>
        <v>-81.966666666666669</v>
      </c>
      <c r="H141" s="29">
        <f t="shared" si="4"/>
        <v>6636.5677777777782</v>
      </c>
      <c r="I141" s="29" t="str">
        <f>IF(様式97_入院ベースアップ評価料!$I$84=B141,"",IF(H141&lt;=0,"該当",""))</f>
        <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f>様式97_入院ベースアップ評価料!$I$84-A142</f>
        <v>-81.966666666666669</v>
      </c>
      <c r="G142" s="29">
        <f>様式97_入院ベースアップ評価料!$I$84-B142</f>
        <v>-82.966666666666669</v>
      </c>
      <c r="H142" s="29">
        <f t="shared" si="4"/>
        <v>6800.5011111111116</v>
      </c>
      <c r="I142" s="29" t="str">
        <f>IF(様式97_入院ベースアップ評価料!$I$84=B142,"",IF(H142&lt;=0,"該当",""))</f>
        <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f>様式97_入院ベースアップ評価料!$I$84-A143</f>
        <v>-82.966666666666669</v>
      </c>
      <c r="G143" s="29">
        <f>様式97_入院ベースアップ評価料!$I$84-B143</f>
        <v>-83.966666666666669</v>
      </c>
      <c r="H143" s="29">
        <f t="shared" si="4"/>
        <v>6966.434444444445</v>
      </c>
      <c r="I143" s="29" t="str">
        <f>IF(様式97_入院ベースアップ評価料!$I$84=B143,"",IF(H143&lt;=0,"該当",""))</f>
        <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f>様式97_入院ベースアップ評価料!$I$84-A144</f>
        <v>-83.966666666666669</v>
      </c>
      <c r="G144" s="29">
        <f>様式97_入院ベースアップ評価料!$I$84-B144</f>
        <v>-84.966666666666669</v>
      </c>
      <c r="H144" s="29">
        <f t="shared" si="4"/>
        <v>7134.3677777777784</v>
      </c>
      <c r="I144" s="29" t="str">
        <f>IF(様式97_入院ベースアップ評価料!$I$84=B144,"",IF(H144&lt;=0,"該当",""))</f>
        <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f>様式97_入院ベースアップ評価料!$I$84-A145</f>
        <v>-84.966666666666669</v>
      </c>
      <c r="G145" s="29">
        <f>様式97_入院ベースアップ評価料!$I$84-B145</f>
        <v>-85.966666666666669</v>
      </c>
      <c r="H145" s="29">
        <f t="shared" si="4"/>
        <v>7304.3011111111118</v>
      </c>
      <c r="I145" s="29" t="str">
        <f>IF(様式97_入院ベースアップ評価料!$I$84=B145,"",IF(H145&lt;=0,"該当",""))</f>
        <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f>様式97_入院ベースアップ評価料!$I$84-A146</f>
        <v>-85.966666666666669</v>
      </c>
      <c r="G146" s="29">
        <f>様式97_入院ベースアップ評価料!$I$84-B146</f>
        <v>-86.966666666666669</v>
      </c>
      <c r="H146" s="29">
        <f t="shared" si="4"/>
        <v>7476.2344444444452</v>
      </c>
      <c r="I146" s="29" t="str">
        <f>IF(様式97_入院ベースアップ評価料!$I$84=B146,"",IF(H146&lt;=0,"該当",""))</f>
        <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f>様式97_入院ベースアップ評価料!$I$84-A147</f>
        <v>-86.966666666666669</v>
      </c>
      <c r="G147" s="29">
        <f>様式97_入院ベースアップ評価料!$I$84-B147</f>
        <v>-87.966666666666669</v>
      </c>
      <c r="H147" s="29">
        <f t="shared" si="4"/>
        <v>7650.1677777777777</v>
      </c>
      <c r="I147" s="29" t="str">
        <f>IF(様式97_入院ベースアップ評価料!$I$84=B147,"",IF(H147&lt;=0,"該当",""))</f>
        <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f>様式97_入院ベースアップ評価料!$I$84-A148</f>
        <v>-87.966666666666669</v>
      </c>
      <c r="G148" s="29">
        <f>様式97_入院ベースアップ評価料!$I$84-B148</f>
        <v>-88.966666666666669</v>
      </c>
      <c r="H148" s="29">
        <f t="shared" si="4"/>
        <v>7826.1011111111111</v>
      </c>
      <c r="I148" s="29" t="str">
        <f>IF(様式97_入院ベースアップ評価料!$I$84=B148,"",IF(H148&lt;=0,"該当",""))</f>
        <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f>様式97_入院ベースアップ評価料!$I$84-A149</f>
        <v>-88.966666666666669</v>
      </c>
      <c r="G149" s="29">
        <f>様式97_入院ベースアップ評価料!$I$84-B149</f>
        <v>-89.966666666666669</v>
      </c>
      <c r="H149" s="29">
        <f t="shared" si="4"/>
        <v>8004.0344444444445</v>
      </c>
      <c r="I149" s="29" t="str">
        <f>IF(様式97_入院ベースアップ評価料!$I$84=B149,"",IF(H149&lt;=0,"該当",""))</f>
        <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f>様式97_入院ベースアップ評価料!$I$84-A150</f>
        <v>-89.966666666666669</v>
      </c>
      <c r="G150" s="29">
        <f>様式97_入院ベースアップ評価料!$I$84-B150</f>
        <v>-90.966666666666669</v>
      </c>
      <c r="H150" s="29">
        <f t="shared" si="4"/>
        <v>8183.9677777777779</v>
      </c>
      <c r="I150" s="29" t="str">
        <f>IF(様式97_入院ベースアップ評価料!$I$84=B150,"",IF(H150&lt;=0,"該当",""))</f>
        <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f>様式97_入院ベースアップ評価料!$I$84-A151</f>
        <v>-90.966666666666669</v>
      </c>
      <c r="G151" s="29">
        <f>様式97_入院ベースアップ評価料!$I$84-B151</f>
        <v>-91.966666666666669</v>
      </c>
      <c r="H151" s="29">
        <f t="shared" si="4"/>
        <v>8365.9011111111122</v>
      </c>
      <c r="I151" s="29" t="str">
        <f>IF(様式97_入院ベースアップ評価料!$I$84=B151,"",IF(H151&lt;=0,"該当",""))</f>
        <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f>様式97_入院ベースアップ評価料!$I$84-A152</f>
        <v>-91.966666666666669</v>
      </c>
      <c r="G152" s="29">
        <f>様式97_入院ベースアップ評価料!$I$84-B152</f>
        <v>-92.966666666666669</v>
      </c>
      <c r="H152" s="29">
        <f t="shared" si="4"/>
        <v>8549.8344444444447</v>
      </c>
      <c r="I152" s="29" t="str">
        <f>IF(様式97_入院ベースアップ評価料!$I$84=B152,"",IF(H152&lt;=0,"該当",""))</f>
        <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f>様式97_入院ベースアップ評価料!$I$84-A153</f>
        <v>-92.966666666666669</v>
      </c>
      <c r="G153" s="29">
        <f>様式97_入院ベースアップ評価料!$I$84-B153</f>
        <v>-93.966666666666669</v>
      </c>
      <c r="H153" s="29">
        <f t="shared" si="4"/>
        <v>8735.767777777779</v>
      </c>
      <c r="I153" s="29" t="str">
        <f>IF(様式97_入院ベースアップ評価料!$I$84=B153,"",IF(H153&lt;=0,"該当",""))</f>
        <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f>様式97_入院ベースアップ評価料!$I$84-A154</f>
        <v>-93.966666666666669</v>
      </c>
      <c r="G154" s="29">
        <f>様式97_入院ベースアップ評価料!$I$84-B154</f>
        <v>-94.966666666666669</v>
      </c>
      <c r="H154" s="29">
        <f t="shared" ref="H154:H156" si="5">F154*G154</f>
        <v>8923.7011111111115</v>
      </c>
      <c r="I154" s="29" t="str">
        <f>IF(様式97_入院ベースアップ評価料!$I$84=B154,"",IF(H154&lt;=0,"該当",""))</f>
        <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f>様式97_入院ベースアップ評価料!$I$84-A155</f>
        <v>-94.966666666666669</v>
      </c>
      <c r="G155" s="29">
        <f>様式97_入院ベースアップ評価料!$I$84-B155</f>
        <v>-95.966666666666669</v>
      </c>
      <c r="H155" s="29">
        <f t="shared" si="5"/>
        <v>9113.6344444444439</v>
      </c>
      <c r="I155" s="29" t="str">
        <f>IF(様式97_入院ベースアップ評価料!$I$84=B155,"",IF(H155&lt;=0,"該当",""))</f>
        <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f>様式97_入院ベースアップ評価料!$I$84-A156</f>
        <v>-95.966666666666669</v>
      </c>
      <c r="G156" s="29">
        <f>様式97_入院ベースアップ評価料!$I$84-B156</f>
        <v>-96.966666666666669</v>
      </c>
      <c r="H156" s="29">
        <f t="shared" si="5"/>
        <v>9305.5677777777782</v>
      </c>
      <c r="I156" s="29" t="str">
        <f>IF(様式97_入院ベースアップ評価料!$I$84=B156,"",IF(H156&lt;=0,"該当",""))</f>
        <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f>様式97_入院ベースアップ評価料!$I$84-A157</f>
        <v>-96.966666666666669</v>
      </c>
      <c r="G157" s="29">
        <f>様式97_入院ベースアップ評価料!$I$84-B157</f>
        <v>-97.966666666666669</v>
      </c>
      <c r="H157" s="29">
        <f t="shared" ref="H157:H168" si="6">F157*G157</f>
        <v>9499.5011111111107</v>
      </c>
      <c r="I157" s="29" t="str">
        <f>IF(様式97_入院ベースアップ評価料!$I$84=B157,"",IF(H157&lt;=0,"該当",""))</f>
        <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f>様式97_入院ベースアップ評価料!$I$84-A158</f>
        <v>-97.966666666666669</v>
      </c>
      <c r="G158" s="29">
        <f>様式97_入院ベースアップ評価料!$I$84-B158</f>
        <v>-98.966666666666669</v>
      </c>
      <c r="H158" s="29">
        <f t="shared" si="6"/>
        <v>9695.434444444445</v>
      </c>
      <c r="I158" s="29" t="str">
        <f>IF(様式97_入院ベースアップ評価料!$I$84=B158,"",IF(H158&lt;=0,"該当",""))</f>
        <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f>様式97_入院ベースアップ評価料!$I$84-A159</f>
        <v>-98.966666666666669</v>
      </c>
      <c r="G159" s="29">
        <f>様式97_入院ベースアップ評価料!$I$84-B159</f>
        <v>-99.966666666666669</v>
      </c>
      <c r="H159" s="29">
        <f t="shared" si="6"/>
        <v>9893.3677777777775</v>
      </c>
      <c r="I159" s="29" t="str">
        <f>IF(様式97_入院ベースアップ評価料!$I$84=B159,"",IF(H159&lt;=0,"該当",""))</f>
        <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f>様式97_入院ベースアップ評価料!$I$84-A160</f>
        <v>-99.966666666666669</v>
      </c>
      <c r="G160" s="29">
        <f>様式97_入院ベースアップ評価料!$I$84-B160</f>
        <v>-100.96666666666667</v>
      </c>
      <c r="H160" s="29">
        <f t="shared" si="6"/>
        <v>10093.301111111112</v>
      </c>
      <c r="I160" s="29" t="str">
        <f>IF(様式97_入院ベースアップ評価料!$I$84=B160,"",IF(H160&lt;=0,"該当",""))</f>
        <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f>様式97_入院ベースアップ評価料!$I$84-A161</f>
        <v>-100.96666666666667</v>
      </c>
      <c r="G161" s="29">
        <f>様式97_入院ベースアップ評価料!$I$84-B161</f>
        <v>-101.96666666666667</v>
      </c>
      <c r="H161" s="29">
        <f t="shared" si="6"/>
        <v>10295.234444444444</v>
      </c>
      <c r="I161" s="29" t="str">
        <f>IF(様式97_入院ベースアップ評価料!$I$84=B161,"",IF(H161&lt;=0,"該当",""))</f>
        <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f>様式97_入院ベースアップ評価料!$I$84-A162</f>
        <v>-101.96666666666667</v>
      </c>
      <c r="G162" s="29">
        <f>様式97_入院ベースアップ評価料!$I$84-B162</f>
        <v>-102.96666666666667</v>
      </c>
      <c r="H162" s="29">
        <f t="shared" si="6"/>
        <v>10499.167777777779</v>
      </c>
      <c r="I162" s="29" t="str">
        <f>IF(様式97_入院ベースアップ評価料!$I$84=B162,"",IF(H162&lt;=0,"該当",""))</f>
        <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f>様式97_入院ベースアップ評価料!$I$84-A163</f>
        <v>-102.96666666666667</v>
      </c>
      <c r="G163" s="29">
        <f>様式97_入院ベースアップ評価料!$I$84-B163</f>
        <v>-103.96666666666667</v>
      </c>
      <c r="H163" s="29">
        <f t="shared" si="6"/>
        <v>10705.101111111111</v>
      </c>
      <c r="I163" s="29" t="str">
        <f>IF(様式97_入院ベースアップ評価料!$I$84=B163,"",IF(H163&lt;=0,"該当",""))</f>
        <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f>様式97_入院ベースアップ評価料!$I$84-A164</f>
        <v>-103.96666666666667</v>
      </c>
      <c r="G164" s="29">
        <f>様式97_入院ベースアップ評価料!$I$84-B164</f>
        <v>-104.96666666666667</v>
      </c>
      <c r="H164" s="29">
        <f t="shared" si="6"/>
        <v>10913.034444444445</v>
      </c>
      <c r="I164" s="29" t="str">
        <f>IF(様式97_入院ベースアップ評価料!$I$84=B164,"",IF(H164&lt;=0,"該当",""))</f>
        <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f>様式97_入院ベースアップ評価料!$I$84-A165</f>
        <v>-104.96666666666667</v>
      </c>
      <c r="G165" s="29">
        <f>様式97_入院ベースアップ評価料!$I$84-B165</f>
        <v>-105.96666666666667</v>
      </c>
      <c r="H165" s="29">
        <f t="shared" si="6"/>
        <v>11122.967777777778</v>
      </c>
      <c r="I165" s="29" t="str">
        <f>IF(様式97_入院ベースアップ評価料!$I$84=B165,"",IF(H165&lt;=0,"該当",""))</f>
        <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f>様式97_入院ベースアップ評価料!$I$84-A166</f>
        <v>-105.96666666666667</v>
      </c>
      <c r="G166" s="29">
        <f>様式97_入院ベースアップ評価料!$I$84-B166</f>
        <v>-106.96666666666667</v>
      </c>
      <c r="H166" s="29">
        <f t="shared" si="6"/>
        <v>11334.901111111112</v>
      </c>
      <c r="I166" s="29" t="str">
        <f>IF(様式97_入院ベースアップ評価料!$I$84=B166,"",IF(H166&lt;=0,"該当",""))</f>
        <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f>様式97_入院ベースアップ評価料!$I$84-A167</f>
        <v>-106.96666666666667</v>
      </c>
      <c r="G167" s="29">
        <f>様式97_入院ベースアップ評価料!$I$84-B167</f>
        <v>-107.96666666666667</v>
      </c>
      <c r="H167" s="29">
        <f t="shared" si="6"/>
        <v>11548.834444444445</v>
      </c>
      <c r="I167" s="29" t="str">
        <f>IF(様式97_入院ベースアップ評価料!$I$84=B167,"",IF(H167&lt;=0,"該当",""))</f>
        <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f>様式97_入院ベースアップ評価料!$I$84-A168</f>
        <v>-107.96666666666667</v>
      </c>
      <c r="G168" s="29">
        <f>様式97_入院ベースアップ評価料!$I$84-B168</f>
        <v>-108.96666666666667</v>
      </c>
      <c r="H168" s="29">
        <f t="shared" si="6"/>
        <v>11764.767777777779</v>
      </c>
      <c r="I168" s="29" t="str">
        <f>IF(様式97_入院ベースアップ評価料!$I$84=B168,"",IF(H168&lt;=0,"該当",""))</f>
        <v/>
      </c>
      <c r="J168" s="29" t="str">
        <f>IF(AND(A168&lt;=様式97_入院ベースアップ評価料!$V$84,様式97_入院ベースアップ評価料!$V$84&lt;'リスト（入院）'!B168),"該当","")</f>
        <v/>
      </c>
      <c r="K168" s="29" t="s">
        <v>1443</v>
      </c>
    </row>
    <row r="169" spans="1:11">
      <c r="A169" s="29">
        <v>165.5</v>
      </c>
      <c r="C169" s="29" t="s">
        <v>1443</v>
      </c>
      <c r="D169" s="29">
        <v>165</v>
      </c>
      <c r="F169" s="29">
        <f>様式97_入院ベースアップ評価料!$I$84-A169</f>
        <v>-108.96666666666667</v>
      </c>
      <c r="G169" s="29">
        <f>様式97_入院ベースアップ評価料!$I$84-B169</f>
        <v>56.533333333333331</v>
      </c>
      <c r="H169" s="29">
        <f t="shared" ref="H169" si="7">F169*G169</f>
        <v>-6160.2488888888884</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f>'様式96_外来・在宅ベースアップ評価料（Ⅱ）'!$M$92-A4</f>
        <v>0.14285714285714285</v>
      </c>
      <c r="H4" s="29">
        <f>'様式96_外来・在宅ベースアップ評価料（Ⅱ）'!$M$92-B4</f>
        <v>-1.3571428571428572</v>
      </c>
      <c r="I4" s="29">
        <f>G4*H4</f>
        <v>-0.19387755102040816</v>
      </c>
      <c r="J4" s="29" t="str">
        <f>IF('様式96_外来・在宅ベースアップ評価料（Ⅱ）'!$M$92=B4,"",IF(I4&lt;=0,"該当",""))</f>
        <v>該当</v>
      </c>
      <c r="K4" s="29" t="str">
        <f>IF(B4&gt;'様式96_外来・在宅ベースアップ評価料（Ⅱ）'!$Z$92,"該当","")</f>
        <v/>
      </c>
      <c r="L4" s="29" t="s">
        <v>153</v>
      </c>
      <c r="M4" s="29" t="s">
        <v>1449</v>
      </c>
      <c r="N4" s="29">
        <v>1</v>
      </c>
    </row>
    <row r="5" spans="1:14">
      <c r="A5" s="29">
        <v>1.5</v>
      </c>
      <c r="B5" s="29">
        <v>2.5</v>
      </c>
      <c r="C5" s="29" t="s">
        <v>155</v>
      </c>
      <c r="D5" s="29">
        <v>16</v>
      </c>
      <c r="E5" s="29">
        <v>2</v>
      </c>
      <c r="G5" s="29">
        <f>'様式96_外来・在宅ベースアップ評価料（Ⅱ）'!$M$92-A5</f>
        <v>-1.3571428571428572</v>
      </c>
      <c r="H5" s="29">
        <f>'様式96_外来・在宅ベースアップ評価料（Ⅱ）'!$M$92-B5</f>
        <v>-2.3571428571428572</v>
      </c>
      <c r="I5" s="29">
        <f t="shared" ref="I5:I11" si="0">G5*H5</f>
        <v>3.1989795918367347</v>
      </c>
      <c r="J5" s="29" t="str">
        <f>IF('様式96_外来・在宅ベースアップ評価料（Ⅱ）'!$M$92=B5,"",IF(I5&lt;=0,"該当",""))</f>
        <v/>
      </c>
      <c r="K5" s="29" t="str">
        <f>IF(B5&gt;'様式96_外来・在宅ベースアップ評価料（Ⅱ）'!$Z$92,"該当","")</f>
        <v/>
      </c>
      <c r="L5" s="29" t="s">
        <v>1450</v>
      </c>
      <c r="M5" s="29" t="s">
        <v>1451</v>
      </c>
      <c r="N5" s="29">
        <v>2</v>
      </c>
    </row>
    <row r="6" spans="1:14">
      <c r="A6" s="29">
        <v>2.5</v>
      </c>
      <c r="B6" s="29">
        <v>3.5</v>
      </c>
      <c r="C6" s="29" t="s">
        <v>157</v>
      </c>
      <c r="D6" s="29">
        <v>24</v>
      </c>
      <c r="E6" s="29">
        <v>3</v>
      </c>
      <c r="G6" s="29">
        <f>'様式96_外来・在宅ベースアップ評価料（Ⅱ）'!$M$92-A6</f>
        <v>-2.3571428571428572</v>
      </c>
      <c r="H6" s="29">
        <f>'様式96_外来・在宅ベースアップ評価料（Ⅱ）'!$M$92-B6</f>
        <v>-3.3571428571428572</v>
      </c>
      <c r="I6" s="29">
        <f t="shared" si="0"/>
        <v>7.9132653061224492</v>
      </c>
      <c r="J6" s="29" t="str">
        <f>IF('様式96_外来・在宅ベースアップ評価料（Ⅱ）'!$M$92=B6,"",IF(I6&lt;=0,"該当",""))</f>
        <v/>
      </c>
      <c r="K6" s="29" t="str">
        <f>IF(B6&gt;'様式96_外来・在宅ベースアップ評価料（Ⅱ）'!$Z$92,"該当","")</f>
        <v/>
      </c>
      <c r="L6" s="29" t="s">
        <v>1452</v>
      </c>
      <c r="M6" s="29" t="s">
        <v>1453</v>
      </c>
      <c r="N6" s="29">
        <v>3</v>
      </c>
    </row>
    <row r="7" spans="1:14">
      <c r="A7" s="29">
        <v>3.5</v>
      </c>
      <c r="B7" s="29">
        <v>4.5</v>
      </c>
      <c r="C7" s="29" t="s">
        <v>159</v>
      </c>
      <c r="D7" s="29">
        <v>32</v>
      </c>
      <c r="E7" s="29">
        <v>4</v>
      </c>
      <c r="G7" s="29">
        <f>'様式96_外来・在宅ベースアップ評価料（Ⅱ）'!$M$92-A7</f>
        <v>-3.3571428571428572</v>
      </c>
      <c r="H7" s="29">
        <f>'様式96_外来・在宅ベースアップ評価料（Ⅱ）'!$M$92-B7</f>
        <v>-4.3571428571428568</v>
      </c>
      <c r="I7" s="29">
        <f t="shared" si="0"/>
        <v>14.627551020408163</v>
      </c>
      <c r="J7" s="29" t="str">
        <f>IF('様式96_外来・在宅ベースアップ評価料（Ⅱ）'!$M$92=B7,"",IF(I7&lt;=0,"該当",""))</f>
        <v/>
      </c>
      <c r="K7" s="29" t="str">
        <f>IF(B7&gt;'様式96_外来・在宅ベースアップ評価料（Ⅱ）'!$Z$92,"該当","")</f>
        <v/>
      </c>
      <c r="L7" s="29" t="s">
        <v>1454</v>
      </c>
      <c r="M7" s="29" t="s">
        <v>1455</v>
      </c>
      <c r="N7" s="29">
        <v>4</v>
      </c>
    </row>
    <row r="8" spans="1:14">
      <c r="A8" s="29">
        <v>4.5</v>
      </c>
      <c r="B8" s="29">
        <v>5.5</v>
      </c>
      <c r="C8" s="29" t="s">
        <v>161</v>
      </c>
      <c r="D8" s="29">
        <v>40</v>
      </c>
      <c r="E8" s="29">
        <v>5</v>
      </c>
      <c r="G8" s="29">
        <f>'様式96_外来・在宅ベースアップ評価料（Ⅱ）'!$M$92-A8</f>
        <v>-4.3571428571428568</v>
      </c>
      <c r="H8" s="29">
        <f>'様式96_外来・在宅ベースアップ評価料（Ⅱ）'!$M$92-B8</f>
        <v>-5.3571428571428568</v>
      </c>
      <c r="I8" s="29">
        <f t="shared" si="0"/>
        <v>23.341836734693874</v>
      </c>
      <c r="J8" s="29" t="str">
        <f>IF('様式96_外来・在宅ベースアップ評価料（Ⅱ）'!$M$92=B8,"",IF(I8&lt;=0,"該当",""))</f>
        <v/>
      </c>
      <c r="K8" s="29" t="str">
        <f>IF(B8&gt;'様式96_外来・在宅ベースアップ評価料（Ⅱ）'!$Z$92,"該当","")</f>
        <v/>
      </c>
      <c r="L8" s="29" t="s">
        <v>1456</v>
      </c>
      <c r="M8" s="29" t="s">
        <v>1457</v>
      </c>
      <c r="N8" s="29">
        <v>5</v>
      </c>
    </row>
    <row r="9" spans="1:14">
      <c r="A9" s="29">
        <v>5.5</v>
      </c>
      <c r="B9" s="29">
        <v>6.5</v>
      </c>
      <c r="C9" s="29" t="s">
        <v>163</v>
      </c>
      <c r="D9" s="29">
        <v>48</v>
      </c>
      <c r="E9" s="29">
        <v>6</v>
      </c>
      <c r="G9" s="29">
        <f>'様式96_外来・在宅ベースアップ評価料（Ⅱ）'!$M$92-A9</f>
        <v>-5.3571428571428568</v>
      </c>
      <c r="H9" s="29">
        <f>'様式96_外来・在宅ベースアップ評価料（Ⅱ）'!$M$92-B9</f>
        <v>-6.3571428571428568</v>
      </c>
      <c r="I9" s="29">
        <f t="shared" si="0"/>
        <v>34.056122448979586</v>
      </c>
      <c r="J9" s="29" t="str">
        <f>IF('様式96_外来・在宅ベースアップ評価料（Ⅱ）'!$M$92=B9,"",IF(I9&lt;=0,"該当",""))</f>
        <v/>
      </c>
      <c r="K9" s="29" t="str">
        <f>IF(B9&gt;'様式96_外来・在宅ベースアップ評価料（Ⅱ）'!$Z$92,"該当","")</f>
        <v/>
      </c>
      <c r="L9" s="29" t="s">
        <v>1458</v>
      </c>
      <c r="M9" s="29" t="s">
        <v>1459</v>
      </c>
      <c r="N9" s="29">
        <v>6</v>
      </c>
    </row>
    <row r="10" spans="1:14">
      <c r="A10" s="29">
        <v>6.5</v>
      </c>
      <c r="B10" s="29">
        <v>7.5</v>
      </c>
      <c r="C10" s="29" t="s">
        <v>165</v>
      </c>
      <c r="D10" s="29">
        <v>56</v>
      </c>
      <c r="E10" s="29">
        <v>7</v>
      </c>
      <c r="G10" s="29">
        <f>'様式96_外来・在宅ベースアップ評価料（Ⅱ）'!$M$92-A10</f>
        <v>-6.3571428571428568</v>
      </c>
      <c r="H10" s="29">
        <f>'様式96_外来・在宅ベースアップ評価料（Ⅱ）'!$M$92-B10</f>
        <v>-7.3571428571428568</v>
      </c>
      <c r="I10" s="29">
        <f t="shared" si="0"/>
        <v>46.770408163265301</v>
      </c>
      <c r="J10" s="29" t="str">
        <f>IF('様式96_外来・在宅ベースアップ評価料（Ⅱ）'!$M$92=B10,"",IF(I10&lt;=0,"該当",""))</f>
        <v/>
      </c>
      <c r="K10" s="29" t="str">
        <f>IF(B10&gt;'様式96_外来・在宅ベースアップ評価料（Ⅱ）'!$Z$92,"該当","")</f>
        <v/>
      </c>
      <c r="L10" s="29" t="s">
        <v>1460</v>
      </c>
      <c r="M10" s="29" t="s">
        <v>1461</v>
      </c>
      <c r="N10" s="29">
        <v>7</v>
      </c>
    </row>
    <row r="11" spans="1:14">
      <c r="A11" s="29">
        <v>7.5</v>
      </c>
      <c r="B11" s="29">
        <v>8.5</v>
      </c>
      <c r="C11" s="29" t="s">
        <v>167</v>
      </c>
      <c r="D11" s="29">
        <v>64</v>
      </c>
      <c r="E11" s="29">
        <v>8</v>
      </c>
      <c r="G11" s="29">
        <f>'様式96_外来・在宅ベースアップ評価料（Ⅱ）'!$M$92-A11</f>
        <v>-7.3571428571428568</v>
      </c>
      <c r="H11" s="29">
        <f>'様式96_外来・在宅ベースアップ評価料（Ⅱ）'!$M$92-B11</f>
        <v>-8.3571428571428577</v>
      </c>
      <c r="I11" s="29">
        <f t="shared" si="0"/>
        <v>61.484693877551024</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